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fkdGT1+7OWVYo0DUzuhg9CO9wYOl8AhyKlXNtObdX/HC2tsFZqyXxDWhqxrm9W+BGUu4dAxWE2gp8RYddsP9zA==" workbookSaltValue="z9Q47Jea8Syvj/Fjb50O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V11"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R19" i="8"/>
  <c r="EP19" i="8"/>
  <c r="EP19" i="19"/>
  <c r="AT17" i="20"/>
  <c r="H13" i="12"/>
  <c r="T13" i="12"/>
  <c r="V9" i="11"/>
  <c r="R10" i="21"/>
  <c r="R13" i="21" s="1"/>
  <c r="BG9" i="11"/>
  <c r="BH17" i="11"/>
  <c r="T17" i="16"/>
  <c r="BU11" i="17"/>
  <c r="BU10" i="17"/>
  <c r="BW12" i="20"/>
  <c r="BW11" i="20"/>
  <c r="BW10" i="20"/>
  <c r="BU12" i="17"/>
  <c r="T13" i="16"/>
  <c r="AZ12" i="11"/>
  <c r="Q17" i="17"/>
  <c r="BI9" i="11"/>
  <c r="BJ10" i="11"/>
  <c r="BH11" i="11"/>
  <c r="BH16" i="11"/>
  <c r="BJ16" i="11"/>
  <c r="T13" i="20"/>
  <c r="AY18" i="8"/>
  <c r="J18" i="17"/>
  <c r="U9" i="17"/>
  <c r="U19" i="17" s="1"/>
  <c r="L9" i="2"/>
  <c r="BG15" i="13"/>
  <c r="BA18" i="13"/>
  <c r="BE15" i="13"/>
  <c r="AO20" i="20"/>
  <c r="AN20" i="20"/>
  <c r="Y20" i="20"/>
  <c r="U10" i="11"/>
  <c r="AH20" i="20"/>
  <c r="AL20" i="20"/>
  <c r="AB20" i="20"/>
  <c r="AJ19" i="8" l="1"/>
  <c r="AC10" i="11"/>
  <c r="D10" i="6"/>
  <c r="BE10" i="8"/>
  <c r="N13" i="2"/>
  <c r="AL9" i="11"/>
  <c r="F9" i="2"/>
  <c r="AL12" i="11"/>
  <c r="C17" i="6"/>
  <c r="M13" i="2"/>
  <c r="K18" i="2"/>
  <c r="L16" i="2"/>
  <c r="H12" i="7"/>
  <c r="BL16" i="11"/>
  <c r="AQ12" i="21"/>
  <c r="BG16" i="11"/>
  <c r="BK16" i="11"/>
  <c r="AQ10" i="21"/>
  <c r="BH10" i="11"/>
  <c r="BG12" i="11"/>
  <c r="V12" i="16"/>
  <c r="U10" i="17"/>
  <c r="BV11" i="16"/>
  <c r="BV12" i="16"/>
  <c r="BV17" i="16"/>
  <c r="T15" i="16"/>
  <c r="BM15" i="11"/>
  <c r="BL11" i="11"/>
  <c r="BI17" i="11"/>
  <c r="BJ11" i="11"/>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F10" i="11"/>
  <c r="BK9" i="11"/>
  <c r="BK15" i="11"/>
  <c r="BI10" i="11"/>
  <c r="Q10" i="21"/>
  <c r="S12" i="14"/>
  <c r="V12" i="14" s="1"/>
  <c r="S16" i="14"/>
  <c r="V16" i="14" s="1"/>
  <c r="BF9" i="8"/>
  <c r="J9" i="7" s="1"/>
  <c r="E12" i="6"/>
  <c r="AO12" i="11"/>
  <c r="B10" i="6"/>
  <c r="H12" i="2"/>
  <c r="AY13" i="8"/>
  <c r="L9" i="14"/>
  <c r="C10" i="6"/>
  <c r="BG15" i="8"/>
  <c r="K15" i="7" s="1"/>
  <c r="BD16" i="8"/>
  <c r="H16" i="7" s="1"/>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I10" i="12"/>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Q20" i="21"/>
  <c r="AZ20" i="11"/>
  <c r="AV20" i="11"/>
  <c r="N20" i="11"/>
  <c r="M20" i="17"/>
  <c r="AD20" i="16"/>
  <c r="Y20" i="21"/>
  <c r="AK20" i="17"/>
  <c r="N20" i="21"/>
  <c r="AU20" i="16"/>
  <c r="V20" i="16"/>
  <c r="J20" i="17"/>
  <c r="BE20" i="16"/>
  <c r="T20" i="16"/>
  <c r="AB20" i="17"/>
  <c r="AA20" i="11"/>
  <c r="AJ20" i="21"/>
  <c r="AJ20" i="16"/>
  <c r="BH20" i="16"/>
  <c r="W20" i="11"/>
  <c r="E20" i="16"/>
  <c r="Q20" i="16"/>
  <c r="AC20" i="16"/>
  <c r="K20" i="21"/>
  <c r="M20" i="1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21"/>
  <c r="X20" i="21"/>
  <c r="AL20" i="16"/>
  <c r="Z20" i="21"/>
  <c r="AR20" i="21"/>
  <c r="AO20" i="21"/>
  <c r="F20" i="12"/>
  <c r="AM20" i="21"/>
  <c r="BN20" i="16"/>
  <c r="AY20" i="21"/>
  <c r="AV20" i="17"/>
  <c r="G20" i="12"/>
  <c r="K20" i="17"/>
  <c r="Z20" i="11"/>
  <c r="BA20" i="16"/>
  <c r="D20" i="12"/>
  <c r="AT20" i="16"/>
  <c r="AV20" i="16"/>
  <c r="Q20" i="11"/>
  <c r="U20" i="11"/>
  <c r="AK20" i="21"/>
  <c r="Z20" i="16"/>
  <c r="M20" i="16"/>
  <c r="F20" i="16"/>
  <c r="AD20" i="11"/>
  <c r="T20" i="11"/>
  <c r="AH20" i="21"/>
  <c r="BQ20" i="16"/>
  <c r="Y20" i="17"/>
  <c r="S20" i="21"/>
  <c r="AO20" i="16"/>
  <c r="BC20" i="16"/>
  <c r="AC20" i="21"/>
  <c r="U20" i="17"/>
  <c r="BJ20" i="16"/>
  <c r="F20" i="17"/>
  <c r="AQ20" i="16"/>
  <c r="AF20" i="11"/>
  <c r="P20" i="16"/>
  <c r="N20" i="16"/>
  <c r="AG20" i="21"/>
  <c r="AL20" i="17"/>
  <c r="AS20" i="16"/>
  <c r="AD20" i="17"/>
  <c r="H20" i="16"/>
  <c r="I20" i="12"/>
  <c r="AO20" i="17"/>
  <c r="T20" i="17"/>
  <c r="L20" i="11"/>
  <c r="R20" i="11"/>
  <c r="I20" i="11"/>
  <c r="I20" i="17"/>
  <c r="R20" i="16"/>
  <c r="H20" i="11"/>
  <c r="AW20" i="21"/>
  <c r="BB20" i="16"/>
  <c r="L20" i="16"/>
  <c r="AF20" i="21"/>
  <c r="W20" i="17"/>
  <c r="AO20" i="11"/>
  <c r="E20" i="21"/>
  <c r="BM20" i="16"/>
  <c r="AM20" i="11"/>
  <c r="BE20" i="21"/>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<sst xmlns="http://schemas.openxmlformats.org/spreadsheetml/2006/main" count="2102" uniqueCount="917">
  <si>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</si>
  <si>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</si>
  <si>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</si>
  <si>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</si>
  <si>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</si>
  <si>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</si>
  <si>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</si>
  <si>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</si>
  <si>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</si>
  <si>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</si>
  <si>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</si>
  <si>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</si>
  <si>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</si>
  <si>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</si>
  <si>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</si>
  <si>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</si>
  <si>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</si>
  <si>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</si>
  <si>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</si>
  <si>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</si>
  <si>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</si>
  <si>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</si>
  <si>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</si>
  <si>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</si>
  <si>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</si>
  <si>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</si>
  <si>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</si>
  <si>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</si>
  <si>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</si>
  <si>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</si>
  <si>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</si>
  <si>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</si>
  <si>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</si>
  <si>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</si>
  <si>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</si>
  <si>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</si>
  <si>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</si>
  <si>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</si>
  <si>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</si>
  <si>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</si>
  <si>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</si>
  <si>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</si>
  <si>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</si>
  <si>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</si>
  <si>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</si>
  <si>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</si>
  <si>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</si>
  <si>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</si>
  <si>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</si>
  <si>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</si>
  <si>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</si>
  <si>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</si>
  <si>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</si>
  <si>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</si>
  <si>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</si>
  <si>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</si>
  <si>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</si>
  <si>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</si>
  <si>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</si>
  <si>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</si>
  <si>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</si>
  <si>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</si>
  <si>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</si>
  <si>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</si>
  <si>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</si>
  <si>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</si>
  <si>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</si>
  <si>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</si>
  <si>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</si>
  <si>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</si>
  <si>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</si>
  <si>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</si>
  <si>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</si>
  <si>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</si>
  <si>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</si>
  <si>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</si>
  <si>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</si>
  <si>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</si>
  <si>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</si>
  <si>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</si>
  <si>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</si>
  <si>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</si>
  <si>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</si>
  <si>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</si>
  <si>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</si>
  <si>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</si>
  <si>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</si>
  <si>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</si>
  <si>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</si>
  <si>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</si>
  <si>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</si>
  <si>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</si>
  <si>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</si>
  <si>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</si>
  <si>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</si>
  <si>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</si>
  <si>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</si>
  <si>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</si>
  <si>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</si>
  <si>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</si>
  <si>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</si>
  <si>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</si>
  <si>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</si>
  <si>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</si>
  <si>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</si>
  <si>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</si>
  <si>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</si>
  <si>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</si>
  <si>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</si>
  <si>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</si>
  <si>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</si>
  <si>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</si>
  <si>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</si>
  <si>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</si>
  <si>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</si>
  <si>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</si>
  <si>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</si>
  <si>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</si>
  <si>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</si>
  <si>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</si>
  <si>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</si>
  <si>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</si>
  <si>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</si>
  <si>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</si>
  <si>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</si>
  <si>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</si>
  <si>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</si>
  <si>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</si>
  <si>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</si>
  <si>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</si>
  <si>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</si>
  <si>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</si>
  <si>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</si>
  <si>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</si>
  <si>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</si>
  <si>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</si>
  <si>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</si>
  <si>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</si>
  <si>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</si>
  <si>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</si>
  <si>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</si>
  <si>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</si>
  <si>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</si>
  <si>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</si>
  <si>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</si>
  <si>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</si>
  <si>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</si>
  <si>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</si>
  <si>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</si>
  <si>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</si>
  <si>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</si>
  <si>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</si>
  <si>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</si>
  <si>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</si>
  <si>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</si>
  <si>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</si>
  <si>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</si>
  <si>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</si>
  <si>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</si>
  <si>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</si>
  <si>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</si>
  <si>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</si>
  <si>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</si>
  <si>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</si>
  <si>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</si>
  <si>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</si>
  <si>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</si>
  <si>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</si>
  <si>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</si>
  <si>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</si>
  <si>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</si>
  <si>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</si>
  <si>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</si>
  <si>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</si>
  <si>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</si>
  <si>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</si>
  <si>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</si>
  <si>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</si>
  <si>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</si>
  <si>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</si>
  <si>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</si>
  <si>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</si>
  <si>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</si>
  <si>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</si>
  <si>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</si>
  <si>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</si>
  <si>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</si>
  <si>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</si>
  <si>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</si>
  <si>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</si>
  <si>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</si>
  <si>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</si>
  <si>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</si>
  <si>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</si>
  <si>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</si>
  <si>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</si>
  <si>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</si>
  <si>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</si>
  <si>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</si>
  <si>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</si>
  <si>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</si>
  <si>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</si>
  <si>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</si>
  <si>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</si>
  <si>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</si>
  <si>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</si>
  <si>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</si>
  <si>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</si>
  <si>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</si>
  <si>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</si>
  <si>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</si>
  <si>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</si>
  <si>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</si>
  <si>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</si>
  <si>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</si>
  <si>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</si>
  <si>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</si>
  <si>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</si>
  <si>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</si>
  <si>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</si>
  <si>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</si>
  <si>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</si>
  <si>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</si>
  <si>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</si>
  <si>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</si>
  <si>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</si>
  <si>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</si>
  <si>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</si>
  <si>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</si>
  <si>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</si>
  <si>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</si>
  <si>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</si>
  <si>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</si>
  <si>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</si>
  <si>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</si>
  <si>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</si>
  <si>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</si>
  <si>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</si>
  <si>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</si>
  <si>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</si>
  <si>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</si>
  <si>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</si>
  <si>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</si>
  <si>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</si>
  <si>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</si>
  <si>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</si>
  <si>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</si>
  <si>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</si>
  <si>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</si>
  <si>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</si>
  <si>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</si>
  <si>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</si>
  <si>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</si>
  <si>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</si>
  <si>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</si>
  <si>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</si>
  <si>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</si>
  <si>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</si>
  <si>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</si>
  <si>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</si>
  <si>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</si>
  <si>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</si>
  <si>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</si>
  <si>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</si>
  <si>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</si>
  <si>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</si>
  <si>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</si>
  <si>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</si>
  <si>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</si>
  <si>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</si>
  <si>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</si>
  <si>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</si>
  <si>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</si>
  <si>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</si>
  <si>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</si>
  <si>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</si>
  <si>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</si>
  <si>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</si>
  <si>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</si>
  <si>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</si>
  <si>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</si>
  <si>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</si>
  <si>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</si>
  <si>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</si>
  <si>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</si>
  <si>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</si>
  <si>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</si>
  <si>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</si>
  <si>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</si>
  <si>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</si>
  <si>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</si>
  <si>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</si>
  <si>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</si>
  <si>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</si>
  <si>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</si>
  <si>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</si>
  <si>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</si>
  <si>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</si>
  <si>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</si>
  <si>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</si>
  <si>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</si>
  <si>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</si>
  <si>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</si>
  <si>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</si>
  <si>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</si>
  <si>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</si>
  <si>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</si>
  <si>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</si>
  <si>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</si>
  <si>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</si>
  <si>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</si>
  <si>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</si>
  <si>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</si>
  <si>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</si>
  <si>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</si>
  <si>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</si>
  <si>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</si>
  <si>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</si>
  <si>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</si>
  <si>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</si>
  <si>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</si>
  <si>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</si>
  <si>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</si>
  <si>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</si>
  <si>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</si>
  <si>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</si>
  <si>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</si>
  <si>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</si>
  <si>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</si>
  <si>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</si>
  <si>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</si>
  <si>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</si>
  <si>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</si>
  <si>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</si>
  <si>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</si>
  <si>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</si>
  <si>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</si>
  <si>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</si>
  <si>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</si>
  <si>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</si>
  <si>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</si>
  <si>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</si>
  <si>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</si>
  <si>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</si>
  <si>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</si>
  <si>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</si>
  <si>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</si>
  <si>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</si>
  <si>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</si>
  <si>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</si>
  <si>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</si>
  <si>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</si>
  <si>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</si>
  <si>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</si>
  <si>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</si>
  <si>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</si>
  <si>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</si>
  <si>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</si>
  <si>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</si>
  <si>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</si>
  <si>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</si>
  <si>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</si>
  <si>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</si>
  <si>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</si>
  <si>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</si>
  <si>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</si>
  <si>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</si>
  <si>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</si>
  <si>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</si>
  <si>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</si>
  <si>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</si>
  <si>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</si>
  <si>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</si>
  <si>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</si>
  <si>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</si>
  <si>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</si>
  <si>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</si>
  <si>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</si>
  <si>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</si>
  <si>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</si>
  <si>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</si>
  <si>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</si>
  <si>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</si>
  <si>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</si>
  <si>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</si>
  <si>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</si>
  <si>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</si>
  <si>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</si>
  <si>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</si>
  <si>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</si>
  <si>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</si>
  <si>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</si>
  <si>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</si>
  <si>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</si>
  <si>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</si>
  <si>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</si>
  <si>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</si>
  <si>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</si>
  <si>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</si>
  <si>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</si>
  <si>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</si>
  <si>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</si>
  <si>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</si>
  <si>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</si>
  <si>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</si>
  <si>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</si>
  <si>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</si>
  <si>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</si>
  <si>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</si>
  <si>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</si>
  <si>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</si>
  <si>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</si>
  <si>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</si>
  <si>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</si>
  <si>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</si>
  <si>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</si>
  <si>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</si>
  <si>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</si>
  <si>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</si>
  <si>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</si>
  <si>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</si>
  <si>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</si>
  <si>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</si>
  <si>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</si>
  <si>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</si>
  <si>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</si>
  <si>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</si>
  <si>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</si>
  <si>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</si>
  <si>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</si>
  <si>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</si>
  <si>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</si>
  <si>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</si>
  <si>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</si>
  <si>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</si>
  <si>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</si>
  <si>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</si>
  <si>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</si>
  <si>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</si>
  <si>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</si>
  <si>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</si>
  <si>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</si>
  <si>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</si>
  <si>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</si>
  <si>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</si>
  <si>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</si>
  <si>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</si>
  <si>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</si>
  <si>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</si>
  <si>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</si>
  <si>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</si>
  <si>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</si>
  <si>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</si>
  <si>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</si>
  <si>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</si>
  <si>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</si>
  <si>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</si>
  <si>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</si>
  <si>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</si>
  <si>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</si>
  <si>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</si>
  <si>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</si>
  <si>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</si>
  <si>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</si>
  <si>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</si>
  <si>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</si>
  <si>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</si>
  <si>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</si>
  <si>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</si>
  <si>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</si>
  <si>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</si>
  <si>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</si>
  <si>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</si>
  <si>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</si>
  <si>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</si>
  <si>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</si>
  <si>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</si>
  <si>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</si>
  <si>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</si>
  <si>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</si>
  <si>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</si>
  <si>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</si>
  <si>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</si>
  <si>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</si>
  <si>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</si>
  <si>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</si>
  <si>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</si>
  <si>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</si>
  <si>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</si>
  <si>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</si>
  <si>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</si>
  <si>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</si>
  <si>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</si>
  <si>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</si>
  <si>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</si>
  <si>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</si>
  <si>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</si>
  <si>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</si>
  <si>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</si>
  <si>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</si>
  <si>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</si>
  <si>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</si>
  <si>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</si>
  <si>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</si>
  <si>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</si>
  <si>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</si>
  <si>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</si>
  <si>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</si>
  <si>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</si>
  <si>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</si>
  <si>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</si>
  <si>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</si>
  <si>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</si>
  <si>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</si>
  <si>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</si>
  <si>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</si>
  <si>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</si>
  <si>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</si>
  <si>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</si>
  <si>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</si>
  <si>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</si>
  <si>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</si>
  <si>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</si>
  <si>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</si>
  <si>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</si>
  <si>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</si>
  <si>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</si>
  <si>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</si>
  <si>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</si>
  <si>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</si>
  <si>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</si>
  <si>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</si>
  <si>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</si>
  <si>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</si>
  <si>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</si>
  <si>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</si>
  <si>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</si>
  <si>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</si>
  <si>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</si>
  <si>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</si>
  <si>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</si>
  <si>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</si>
  <si>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</si>
  <si>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</si>
  <si>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</si>
  <si>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</si>
  <si>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</si>
  <si>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</si>
  <si>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</si>
  <si>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</si>
  <si>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</si>
  <si>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</si>
  <si>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</si>
  <si>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</si>
  <si>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</si>
  <si>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</si>
  <si>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</si>
  <si>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</si>
  <si>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</si>
  <si>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</si>
  <si>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</si>
  <si>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</si>
  <si>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</si>
  <si>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</si>
  <si>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</si>
  <si>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</si>
  <si>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</si>
  <si>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</si>
  <si>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</si>
  <si>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</si>
  <si>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</si>
  <si>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</si>
  <si>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</si>
  <si>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</si>
  <si>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</si>
  <si>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</si>
  <si>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</si>
  <si>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</si>
  <si>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</si>
  <si>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</si>
  <si>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</si>
  <si>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</si>
  <si>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</si>
  <si>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</si>
  <si>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</si>
  <si>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</si>
  <si>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</si>
  <si>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</si>
  <si>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</si>
  <si>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</si>
  <si>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</si>
  <si>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</si>
  <si>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</si>
  <si>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</si>
  <si>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</si>
  <si>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</si>
  <si>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</si>
  <si>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</si>
  <si>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</si>
  <si>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</si>
  <si>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</si>
  <si>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</si>
  <si>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</si>
  <si>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</si>
  <si>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</si>
  <si>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</si>
  <si>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</si>
  <si>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</si>
  <si>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</si>
  <si>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</si>
  <si>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</si>
  <si>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</si>
  <si>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</si>
  <si>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</si>
  <si>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</si>
  <si>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</si>
  <si>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</si>
  <si>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</si>
  <si>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</si>
  <si>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</si>
  <si>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</si>
  <si>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</si>
  <si>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</si>
  <si>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</si>
  <si>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</si>
  <si>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</si>
  <si>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</si>
  <si>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</si>
  <si>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</si>
  <si>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</si>
  <si>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</si>
  <si>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</si>
  <si>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</si>
  <si>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</si>
  <si>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</si>
  <si>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</si>
  <si>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</si>
  <si>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</si>
  <si>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</si>
  <si>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</si>
  <si>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</si>
  <si>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</si>
  <si>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</si>
  <si>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</si>
  <si>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</si>
  <si>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</si>
  <si>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</si>
  <si>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</si>
  <si>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</si>
  <si>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</si>
  <si>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</si>
  <si>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</si>
  <si>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</si>
  <si>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</si>
  <si>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</si>
  <si>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</si>
  <si>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</si>
  <si>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</si>
  <si>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</si>
  <si>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</si>
  <si>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</si>
  <si>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</si>
  <si>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</si>
  <si>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</si>
  <si>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</si>
  <si>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</si>
  <si>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</si>
  <si>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</si>
  <si>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</si>
  <si>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</si>
  <si>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</si>
  <si>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</si>
  <si>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</si>
  <si>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</si>
  <si>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</si>
  <si>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</si>
  <si>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</si>
  <si>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</si>
  <si>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</si>
  <si>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</si>
  <si>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</si>
  <si>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</si>
  <si>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</si>
  <si>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</si>
  <si>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</si>
  <si>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</si>
  <si>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</si>
  <si>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</si>
  <si>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</si>
  <si>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</si>
  <si>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</si>
  <si>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</si>
  <si>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</si>
  <si>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</si>
  <si>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</si>
  <si>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</si>
  <si>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</si>
  <si>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</si>
  <si>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</si>
  <si>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</si>
  <si>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</si>
  <si>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</si>
  <si>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</si>
  <si>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</si>
  <si>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</si>
  <si>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</si>
  <si>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</si>
  <si>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</si>
  <si>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</si>
  <si>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</si>
  <si>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</si>
  <si>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</si>
  <si>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</si>
  <si>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</si>
  <si>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</si>
  <si>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</si>
  <si>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</si>
  <si>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</si>
  <si>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</si>
  <si>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</si>
  <si>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</si>
  <si>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</si>
  <si>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</si>
  <si>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</si>
  <si>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</si>
  <si>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</si>
  <si>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</si>
  <si>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</si>
  <si>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</si>
  <si>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</si>
  <si>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</si>
  <si>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</si>
  <si>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</si>
  <si>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</si>
  <si>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</si>
  <si>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</si>
  <si>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</si>
  <si>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</si>
  <si>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</si>
  <si>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</si>
  <si>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</si>
  <si>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</si>
  <si>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</si>
  <si>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</si>
  <si>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</si>
  <si>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</si>
  <si>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</si>
  <si>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</si>
  <si>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</si>
  <si>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</si>
  <si>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</si>
  <si>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</si>
  <si>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</si>
  <si>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</si>
  <si>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</si>
  <si>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</si>
  <si>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</si>
  <si>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</si>
  <si>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</si>
  <si>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</si>
  <si>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</si>
  <si>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</si>
  <si>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</si>
  <si>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</si>
  <si>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</si>
  <si>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</si>
  <si>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</si>
  <si>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</si>
  <si>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</si>
  <si>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</si>
  <si>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</si>
  <si>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</si>
  <si>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</si>
  <si>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</si>
  <si>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</si>
  <si>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</si>
  <si>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</si>
  <si>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</si>
  <si>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</si>
  <si>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</si>
  <si>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</si>
  <si>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</si>
  <si>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</si>
  <si>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</si>
  <si>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</si>
  <si>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</si>
  <si>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</si>
  <si>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</si>
  <si>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</si>
  <si>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</si>
  <si>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</si>
  <si>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</si>
  <si>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</si>
  <si>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</si>
  <si>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</si>
  <si>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</si>
  <si>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</si>
  <si>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</si>
  <si>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</si>
  <si>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</si>
  <si>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</si>
  <si>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</si>
  <si>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</si>
  <si>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</si>
  <si>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</si>
  <si>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</si>
  <si>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</si>
  <si>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</si>
  <si>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</si>
  <si>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</si>
  <si>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</si>
  <si>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</si>
  <si>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</si>
  <si>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</si>
  <si>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</si>
  <si>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</si>
  <si>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</si>
  <si>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</si>
  <si>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</si>
  <si>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</si>
  <si>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</si>
  <si>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</si>
  <si>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</si>
  <si>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</si>
  <si>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</si>
  <si>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</si>
  <si>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</si>
  <si>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</si>
  <si>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</si>
  <si>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</si>
  <si>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</si>
  <si>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</si>
  <si>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</si>
  <si>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</si>
  <si>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</si>
  <si>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</si>
  <si>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</si>
  <si>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</si>
  <si>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</si>
  <si>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</si>
  <si>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</si>
  <si>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</si>
  <si>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</si>
  <si>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</si>
  <si>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</si>
  <si>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</si>
  <si>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</si>
  <si>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</si>
  <si>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</si>
  <si>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</si>
  <si>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</si>
  <si>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</si>
  <si>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</si>
  <si>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</si>
  <si>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</si>
  <si>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</si>
  <si>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</si>
  <si>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</si>
  <si>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</si>
  <si>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</si>
  <si>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</si>
  <si>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</si>
  <si>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</si>
  <si>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</si>
  <si>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</si>
  <si>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</si>
  <si>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</si>
  <si>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</si>
  <si>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</si>
  <si>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</si>
  <si>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</si>
  <si>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</si>
  <si>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</si>
  <si>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</si>
  <si>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</si>
  <si>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</si>
  <si>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</si>
  <si>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</si>
  <si>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</si>
  <si>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</si>
  <si>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</si>
  <si>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</si>
  <si>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</si>
  <si>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</si>
  <si>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</si>
  <si>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</si>
  <si>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</si>
  <si>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</si>
  <si>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</si>
  <si>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</si>
  <si>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</si>
  <si>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</si>
  <si>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</si>
  <si>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</si>
  <si>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</si>
  <si>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</si>
  <si>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</si>
  <si>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</si>
  <si>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</si>
  <si>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</si>
  <si>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</si>
  <si>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</si>
  <si>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</si>
  <si>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</si>
  <si>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</si>
  <si>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</si>
  <si>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</si>
  <si>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</si>
  <si>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</si>
  <si>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</si>
  <si>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</si>
  <si>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</si>
  <si>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</si>
  <si>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</si>
  <si>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</si>
  <si>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</si>
  <si>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GÜIMAR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</si>
</sst>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9C8AOXOq2TVfs0v9LghyUvGvtj7g1gbstQ6r1zGW8HModMt7NNFq4iWlW3E9bXbCSXgCvTovVgKghcKXGG6sA==" saltValue="cOLwFS84pyksDIxdDlE1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34.520559930008751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635</v>
      </c>
      <c r="D16" s="225">
        <f>IF(ISNUMBER(IF(D_I="SI",Datos!I16,Datos!I16+Datos!AC16)),IF(D_I="SI",Datos!I16,Datos!I16+Datos!AC16)," - ")</f>
        <v>628</v>
      </c>
      <c r="E16" s="226">
        <f>IF(ISNUMBER(IF(D_I="SI",Datos!J16,Datos!J16+Datos!AD16)),IF(D_I="SI",Datos!J16,Datos!J16+Datos!AD16)," - ")</f>
        <v>919</v>
      </c>
      <c r="F16" s="226">
        <f>IF(ISNUMBER(IF(D_I="SI",Datos!K16,Datos!K16+Datos!AE16)),IF(D_I="SI",Datos!K16,Datos!K16+Datos!AE16)," - ")</f>
        <v>809</v>
      </c>
      <c r="G16" s="1034" t="str">
        <f>IF(Datos!E16&lt;&gt;"",Datos!E16,Datos!D16)</f>
        <v>04</v>
      </c>
      <c r="H16" s="227">
        <f>IF(ISNUMBER(IF(D_I="SI",Datos!L16,Datos!L16+Datos!AF16)),IF(D_I="SI",Datos!L16,Datos!L16+Datos!AF16)," - ")</f>
        <v>745</v>
      </c>
      <c r="I16" s="1044" t="str">
        <f>IF(ISNUMBER(Datos!AS16/Datos!BM16),Datos!AS16/Datos!BM16," - ")</f>
        <v xml:space="preserve"> - </v>
      </c>
      <c r="J16" s="1045">
        <f>IF(ISNUMBER(Datos!BY16/Datos!CN16),Datos!BY16/Datos!CN16," - ")</f>
        <v>0</v>
      </c>
      <c r="K16" s="230">
        <f t="shared" si="3"/>
        <v>0.17322834645669291</v>
      </c>
      <c r="L16" s="1025">
        <f>IF(ISNUMBER(NºAsuntos!I16/NºAsuntos!G16),(NºAsuntos!I16/NºAsuntos!G16)*11," - ")</f>
        <v>10.129789864029666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638</v>
      </c>
      <c r="D18" s="1049">
        <f>SUBTOTAL(9,D15:D17)</f>
        <v>631</v>
      </c>
      <c r="E18" s="1050">
        <f>SUBTOTAL(9,E15:E17)</f>
        <v>919</v>
      </c>
      <c r="F18" s="1050">
        <f>SUBTOTAL(9,F15:F17)</f>
        <v>810</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638</v>
      </c>
      <c r="D19" s="1071">
        <f>SUBTOTAL(9,D9:D18)</f>
        <v>631</v>
      </c>
      <c r="E19" s="1072">
        <f>SUBTOTAL(9,E9:E18)</f>
        <v>919</v>
      </c>
      <c r="F19" s="1072">
        <f>SUBTOTAL(9,F9:F18)</f>
        <v>810</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0qP0bgJcDdHWGRWRGz6yZQr8e7LwxeOeNNPs3tOdnafIbZUrA7i7ZDhuhED+W00QRvwAMfj4xTxJSjf0LEX+g==" saltValue="JxAcOK+FLQck7fEQGEq++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0E2OqL0fvlNLK+iCPQGZ31L4t8sBLdbzUc8x7rv+7X1l3byZqH1VSRuzmUS0EVYLsOPuWK9aiNeM82/0kld0Q==" saltValue="UeA3JUzGe36xpfFD3sg2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3</v>
      </c>
      <c r="T10" s="181">
        <v>0</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0</v>
      </c>
      <c r="BA10" s="129">
        <f t="shared" si="0"/>
        <v>2</v>
      </c>
      <c r="BB10" s="129">
        <f t="shared" si="0"/>
        <v>1</v>
      </c>
      <c r="BC10" s="125">
        <f t="shared" si="0"/>
        <v>2</v>
      </c>
      <c r="BD10" s="126" t="str">
        <f>IF(ISNUMBER(BA10/AZ10),BA10/AZ10," - ")</f>
        <v xml:space="preserve"> - </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3321</v>
      </c>
      <c r="J12" s="183">
        <v>1329</v>
      </c>
      <c r="K12" s="183">
        <v>1100</v>
      </c>
      <c r="L12" s="183">
        <v>3551</v>
      </c>
      <c r="M12" s="183">
        <v>384</v>
      </c>
      <c r="N12" s="183">
        <v>441</v>
      </c>
      <c r="O12" s="181">
        <v>307</v>
      </c>
      <c r="P12" s="183">
        <v>152</v>
      </c>
      <c r="Q12" s="183">
        <v>84</v>
      </c>
      <c r="R12" s="183">
        <v>3935</v>
      </c>
      <c r="S12" s="183">
        <v>2724</v>
      </c>
      <c r="T12" s="183">
        <v>1138</v>
      </c>
      <c r="U12" s="183">
        <v>1058</v>
      </c>
      <c r="V12" s="183">
        <v>2804</v>
      </c>
      <c r="W12" s="183">
        <v>234</v>
      </c>
      <c r="X12" s="189">
        <v>570</v>
      </c>
      <c r="Y12" s="191">
        <v>40</v>
      </c>
      <c r="Z12" s="181">
        <v>39</v>
      </c>
      <c r="AA12" s="181">
        <v>43</v>
      </c>
      <c r="AB12" s="181">
        <v>36</v>
      </c>
      <c r="AC12" s="183">
        <v>0</v>
      </c>
      <c r="AD12" s="183">
        <v>0</v>
      </c>
      <c r="AE12" s="183">
        <v>0</v>
      </c>
      <c r="AF12" s="189">
        <v>0</v>
      </c>
      <c r="AG12" s="202">
        <v>22</v>
      </c>
      <c r="AH12" s="183">
        <v>34</v>
      </c>
      <c r="AI12" s="183">
        <v>28</v>
      </c>
      <c r="AJ12" s="203">
        <v>28</v>
      </c>
      <c r="AK12" s="182">
        <v>0</v>
      </c>
      <c r="AL12" s="183">
        <v>0</v>
      </c>
      <c r="AM12" s="183">
        <v>0</v>
      </c>
      <c r="AN12" s="189">
        <v>0</v>
      </c>
      <c r="AO12" s="259">
        <v>3</v>
      </c>
      <c r="AP12" s="155">
        <v>3</v>
      </c>
      <c r="AQ12" s="155">
        <v>3</v>
      </c>
      <c r="AR12" s="154">
        <v>3</v>
      </c>
      <c r="AS12" s="340" t="s">
        <v>801</v>
      </c>
      <c r="AT12" s="203"/>
      <c r="AU12" s="202"/>
      <c r="AV12" s="203"/>
      <c r="AW12" s="202"/>
      <c r="AX12" s="203"/>
      <c r="AY12" s="126">
        <f t="shared" si="1"/>
        <v>2746</v>
      </c>
      <c r="AZ12" s="127">
        <f t="shared" si="1"/>
        <v>1172</v>
      </c>
      <c r="BA12" s="127">
        <f t="shared" si="1"/>
        <v>1086</v>
      </c>
      <c r="BB12" s="127">
        <f t="shared" si="1"/>
        <v>2832</v>
      </c>
      <c r="BC12" s="125">
        <f>IF(ISNUMBER(X12),X12," - ")</f>
        <v>570</v>
      </c>
      <c r="BD12" s="126">
        <f t="shared" si="2"/>
        <v>0.92662116040955633</v>
      </c>
      <c r="BE12" s="127">
        <f t="shared" si="3"/>
        <v>2.6077348066298343</v>
      </c>
      <c r="BF12" s="127">
        <f t="shared" si="4"/>
        <v>0.52486187845303867</v>
      </c>
      <c r="BG12" s="196">
        <f t="shared" si="5"/>
        <v>3.6077348066298343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3321</v>
      </c>
      <c r="J13" s="184">
        <f t="shared" si="6"/>
        <v>1329</v>
      </c>
      <c r="K13" s="184">
        <f t="shared" si="6"/>
        <v>1100</v>
      </c>
      <c r="L13" s="184">
        <f t="shared" si="6"/>
        <v>3551</v>
      </c>
      <c r="M13" s="184">
        <f t="shared" si="6"/>
        <v>384</v>
      </c>
      <c r="N13" s="184">
        <f t="shared" si="6"/>
        <v>441</v>
      </c>
      <c r="O13" s="184">
        <f t="shared" si="6"/>
        <v>307</v>
      </c>
      <c r="P13" s="184">
        <f t="shared" si="6"/>
        <v>152</v>
      </c>
      <c r="Q13" s="184">
        <f t="shared" si="6"/>
        <v>84</v>
      </c>
      <c r="R13" s="184">
        <f t="shared" si="6"/>
        <v>3935</v>
      </c>
      <c r="S13" s="184">
        <f t="shared" si="6"/>
        <v>2727</v>
      </c>
      <c r="T13" s="184">
        <f t="shared" si="6"/>
        <v>1138</v>
      </c>
      <c r="U13" s="184">
        <f t="shared" si="6"/>
        <v>1060</v>
      </c>
      <c r="V13" s="184">
        <f t="shared" si="6"/>
        <v>2805</v>
      </c>
      <c r="W13" s="184">
        <f t="shared" si="6"/>
        <v>236</v>
      </c>
      <c r="X13" s="184">
        <f t="shared" si="6"/>
        <v>570</v>
      </c>
      <c r="Y13" s="184">
        <f t="shared" si="6"/>
        <v>40</v>
      </c>
      <c r="Z13" s="184">
        <f t="shared" si="6"/>
        <v>39</v>
      </c>
      <c r="AA13" s="184">
        <f t="shared" si="6"/>
        <v>43</v>
      </c>
      <c r="AB13" s="184">
        <f t="shared" si="6"/>
        <v>36</v>
      </c>
      <c r="AC13" s="184">
        <f t="shared" si="6"/>
        <v>0</v>
      </c>
      <c r="AD13" s="184">
        <f t="shared" si="6"/>
        <v>0</v>
      </c>
      <c r="AE13" s="184">
        <f t="shared" si="6"/>
        <v>0</v>
      </c>
      <c r="AF13" s="184">
        <f>SUBTOTAL(9,AF9:AF12)</f>
        <v>0</v>
      </c>
      <c r="AG13" s="184">
        <f t="shared" ref="AG13:AT13" si="7">SUBTOTAL(9,AG8:AG12)</f>
        <v>22</v>
      </c>
      <c r="AH13" s="184">
        <f t="shared" si="7"/>
        <v>34</v>
      </c>
      <c r="AI13" s="184">
        <f t="shared" si="7"/>
        <v>28</v>
      </c>
      <c r="AJ13" s="184">
        <f t="shared" si="7"/>
        <v>28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2749</v>
      </c>
      <c r="AZ13" s="184">
        <f>SUBTOTAL(9,AZ8:AZ12)</f>
        <v>1172</v>
      </c>
      <c r="BA13" s="184">
        <f>SUBTOTAL(9,BA8:BA12)</f>
        <v>1088</v>
      </c>
      <c r="BB13" s="184">
        <f>SUBTOTAL(9,BB8:BB12)</f>
        <v>2833</v>
      </c>
      <c r="BC13" s="184">
        <f>SUBTOTAL(9,BC8:BC12)</f>
        <v>572</v>
      </c>
      <c r="BD13" s="205">
        <f>IF(ISNUMBER(BA13/AZ13),BA13/AZ13," - ")</f>
        <v>0.92832764505119458</v>
      </c>
      <c r="BE13" s="206">
        <f>IF(ISNUMBER(BB13/BA13),BB13/BA13, " - ")</f>
        <v>2.6038602941176472</v>
      </c>
      <c r="BF13" s="206">
        <f>IF(ISNUMBER(BC13/BA13),BC13/BA13, " - ")</f>
        <v>0.52573529411764708</v>
      </c>
      <c r="BG13" s="207">
        <f>IF(ISNUMBER((AY13+AZ13)/BA13),(AY13+AZ13)/BA13," - ")</f>
        <v>3.6038602941176472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628</v>
      </c>
      <c r="J16" s="183">
        <v>919</v>
      </c>
      <c r="K16" s="183">
        <v>809</v>
      </c>
      <c r="L16" s="183">
        <v>745</v>
      </c>
      <c r="M16" s="183">
        <v>73</v>
      </c>
      <c r="N16" s="183">
        <v>602</v>
      </c>
      <c r="O16" s="181">
        <v>21</v>
      </c>
      <c r="P16" s="183">
        <v>28</v>
      </c>
      <c r="Q16" s="183">
        <v>27</v>
      </c>
      <c r="R16" s="183">
        <v>170</v>
      </c>
      <c r="S16" s="183">
        <v>679</v>
      </c>
      <c r="T16" s="183">
        <v>796</v>
      </c>
      <c r="U16" s="183">
        <v>836</v>
      </c>
      <c r="V16" s="183">
        <v>646</v>
      </c>
      <c r="W16" s="183">
        <v>124</v>
      </c>
      <c r="X16" s="189">
        <v>560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679</v>
      </c>
      <c r="AZ16" s="127">
        <f t="shared" si="9"/>
        <v>796</v>
      </c>
      <c r="BA16" s="127">
        <f t="shared" si="9"/>
        <v>836</v>
      </c>
      <c r="BB16" s="127">
        <f t="shared" si="9"/>
        <v>646</v>
      </c>
      <c r="BC16" s="125">
        <f>IF(ISNUMBER(W16),W16," - ")</f>
        <v>124</v>
      </c>
      <c r="BD16" s="126">
        <f t="shared" ref="BD16" si="11">IF(ISNUMBER(BA16/AZ16),BA16/AZ16," - ")</f>
        <v>1.050251256281407</v>
      </c>
      <c r="BE16" s="127">
        <f t="shared" ref="BE16" si="12">IF(ISNUMBER(BB16/BA16),BB16/BA16, " - ")</f>
        <v>0.77272727272727271</v>
      </c>
      <c r="BF16" s="127">
        <f t="shared" ref="BF16" si="13">IF(ISNUMBER(BC16/BA16),BC16/BA16, " - ")</f>
        <v>0.14832535885167464</v>
      </c>
      <c r="BG16" s="196">
        <f t="shared" si="10"/>
        <v>1.7643540669856459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0</v>
      </c>
      <c r="K17" s="183">
        <v>1</v>
      </c>
      <c r="L17" s="183">
        <v>2</v>
      </c>
      <c r="M17" s="183">
        <v>0</v>
      </c>
      <c r="N17" s="183">
        <v>0</v>
      </c>
      <c r="O17" s="183">
        <v>0</v>
      </c>
      <c r="P17" s="183">
        <v>0</v>
      </c>
      <c r="Q17" s="183">
        <v>0</v>
      </c>
      <c r="R17" s="183">
        <v>0</v>
      </c>
      <c r="S17" s="183">
        <v>17</v>
      </c>
      <c r="T17" s="183">
        <v>1</v>
      </c>
      <c r="U17" s="183">
        <v>5</v>
      </c>
      <c r="V17" s="183">
        <v>14</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17</v>
      </c>
      <c r="AZ17" s="129">
        <f t="shared" si="14"/>
        <v>1</v>
      </c>
      <c r="BA17" s="129">
        <f t="shared" si="14"/>
        <v>5</v>
      </c>
      <c r="BB17" s="129">
        <f t="shared" si="14"/>
        <v>14</v>
      </c>
      <c r="BC17" s="125">
        <f>IF(ISNUMBER(W17),W17," - ")</f>
        <v>0</v>
      </c>
      <c r="BD17" s="126">
        <f>IF(ISNUMBER(BA17/AZ17),BA17/AZ17," - ")</f>
        <v>5</v>
      </c>
      <c r="BE17" s="127">
        <f>IF(ISNUMBER(BB17/BA17),BB17/BA17, " - ")</f>
        <v>2.8</v>
      </c>
      <c r="BF17" s="127">
        <f>IF(ISNUMBER(BC17/BA17),BC17/BA17, " - ")</f>
        <v>0</v>
      </c>
      <c r="BG17" s="196">
        <f>IF(ISNUMBER((AY17+AZ17)/BA17),(AY17+AZ17)/BA17," - ")</f>
        <v>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631</v>
      </c>
      <c r="J18" s="184">
        <f t="shared" si="15"/>
        <v>919</v>
      </c>
      <c r="K18" s="184">
        <f t="shared" si="15"/>
        <v>810</v>
      </c>
      <c r="L18" s="184">
        <f t="shared" si="15"/>
        <v>747</v>
      </c>
      <c r="M18" s="184">
        <f t="shared" si="15"/>
        <v>73</v>
      </c>
      <c r="N18" s="184">
        <f t="shared" si="15"/>
        <v>602</v>
      </c>
      <c r="O18" s="184">
        <f t="shared" si="15"/>
        <v>21</v>
      </c>
      <c r="P18" s="184">
        <f t="shared" si="15"/>
        <v>28</v>
      </c>
      <c r="Q18" s="184">
        <f t="shared" si="15"/>
        <v>27</v>
      </c>
      <c r="R18" s="184">
        <f t="shared" si="15"/>
        <v>170</v>
      </c>
      <c r="S18" s="184">
        <f t="shared" si="15"/>
        <v>696</v>
      </c>
      <c r="T18" s="184">
        <f t="shared" si="15"/>
        <v>797</v>
      </c>
      <c r="U18" s="184">
        <f t="shared" si="15"/>
        <v>841</v>
      </c>
      <c r="V18" s="184">
        <f t="shared" si="15"/>
        <v>660</v>
      </c>
      <c r="W18" s="184">
        <f t="shared" si="15"/>
        <v>124</v>
      </c>
      <c r="X18" s="184">
        <f t="shared" si="15"/>
        <v>561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696</v>
      </c>
      <c r="AZ18" s="184">
        <f>SUBTOTAL(9,AZ14:AZ17)</f>
        <v>797</v>
      </c>
      <c r="BA18" s="184">
        <f>SUBTOTAL(9,BA14:BA17)</f>
        <v>841</v>
      </c>
      <c r="BB18" s="184">
        <f>SUBTOTAL(9,BB14:BB17)</f>
        <v>660</v>
      </c>
      <c r="BC18" s="184">
        <f>SUBTOTAL(9,BC14:BC17)</f>
        <v>124</v>
      </c>
      <c r="BD18" s="205">
        <f>IF(ISNUMBER(BA18/AZ18),BA18/AZ18," - ")</f>
        <v>1.055207026348808</v>
      </c>
      <c r="BE18" s="206">
        <f>IF(ISNUMBER(BB18/BA18),BB18/BA18, " - ")</f>
        <v>0.78478002378121281</v>
      </c>
      <c r="BF18" s="206">
        <f>IF(ISNUMBER(BC18/BA18),BC18/BA18, " - ")</f>
        <v>0.14744351961950058</v>
      </c>
      <c r="BG18" s="207">
        <f>IF(ISNUMBER((AY18+AZ18)/BA18),(AY18+AZ18)/BA18," - ")</f>
        <v>1.775267538644471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3952</v>
      </c>
      <c r="J19" s="134">
        <f t="shared" si="18"/>
        <v>2248</v>
      </c>
      <c r="K19" s="134">
        <f t="shared" si="18"/>
        <v>1910</v>
      </c>
      <c r="L19" s="134">
        <f t="shared" si="18"/>
        <v>4298</v>
      </c>
      <c r="M19" s="134">
        <f t="shared" si="18"/>
        <v>457</v>
      </c>
      <c r="N19" s="134">
        <f t="shared" si="18"/>
        <v>1043</v>
      </c>
      <c r="O19" s="134">
        <f t="shared" si="18"/>
        <v>328</v>
      </c>
      <c r="P19" s="134">
        <f t="shared" si="18"/>
        <v>180</v>
      </c>
      <c r="Q19" s="134">
        <f t="shared" si="18"/>
        <v>111</v>
      </c>
      <c r="R19" s="134">
        <f t="shared" si="18"/>
        <v>4105</v>
      </c>
      <c r="S19" s="134">
        <f t="shared" si="18"/>
        <v>3423</v>
      </c>
      <c r="T19" s="134">
        <f t="shared" si="18"/>
        <v>1935</v>
      </c>
      <c r="U19" s="134">
        <f t="shared" si="18"/>
        <v>1901</v>
      </c>
      <c r="V19" s="134">
        <f t="shared" si="18"/>
        <v>3465</v>
      </c>
      <c r="W19" s="134">
        <f t="shared" si="18"/>
        <v>360</v>
      </c>
      <c r="X19" s="134">
        <f t="shared" si="18"/>
        <v>1131</v>
      </c>
      <c r="Y19" s="134">
        <f t="shared" si="18"/>
        <v>40</v>
      </c>
      <c r="Z19" s="134">
        <f t="shared" si="18"/>
        <v>39</v>
      </c>
      <c r="AA19" s="134">
        <f t="shared" si="18"/>
        <v>43</v>
      </c>
      <c r="AB19" s="134">
        <f t="shared" si="18"/>
        <v>36</v>
      </c>
      <c r="AC19" s="134">
        <f t="shared" si="18"/>
        <v>0</v>
      </c>
      <c r="AD19" s="134">
        <f t="shared" si="18"/>
        <v>0</v>
      </c>
      <c r="AE19" s="134">
        <f t="shared" si="18"/>
        <v>0</v>
      </c>
      <c r="AF19" s="134">
        <f t="shared" si="18"/>
        <v>0</v>
      </c>
      <c r="AG19" s="134">
        <f t="shared" si="18"/>
        <v>22</v>
      </c>
      <c r="AH19" s="134">
        <f t="shared" si="18"/>
        <v>34</v>
      </c>
      <c r="AI19" s="134">
        <f t="shared" si="18"/>
        <v>28</v>
      </c>
      <c r="AJ19" s="134">
        <f t="shared" si="18"/>
        <v>28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3445</v>
      </c>
      <c r="AZ19" s="134">
        <f>SUBTOTAL(9,AZ9:AZ18)</f>
        <v>1969</v>
      </c>
      <c r="BA19" s="134">
        <f>SUBTOTAL(9,BA9:BA18)</f>
        <v>1929</v>
      </c>
      <c r="BB19" s="134">
        <f>SUBTOTAL(9,BB9:BB18)</f>
        <v>3493</v>
      </c>
      <c r="BC19" s="135">
        <f>SUBTOTAL(9,BC9:BC18)</f>
        <v>696</v>
      </c>
      <c r="BD19" s="213">
        <f>IF(ISNUMBER(BA19/AZ19),BA19/AZ19," - ")</f>
        <v>0.97968511934992386</v>
      </c>
      <c r="BE19" s="210">
        <f>IF(ISNUMBER(BB19/BA19),BB19/BA19, " - ")</f>
        <v>1.8107827890098496</v>
      </c>
      <c r="BF19" s="210">
        <f>IF(ISNUMBER(BC19/BA19),BC19/BA19, " - ")</f>
        <v>0.36080870917573871</v>
      </c>
      <c r="BG19" s="135">
        <f>IF(ISNUMBER((AY19+AZ19)/BA19),(AY19+AZ19)/BA19," - ")</f>
        <v>2.8066355624675996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WjBSQw04xSnmA1S749670nY/8oKKpt/aAIXqrSlodiNFsryrNT0R+JQn6tVq9b4t50frwH5oc8gLAyeXFEw==" saltValue="kRdOVqh48KTWPh99eduS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1xHH6tvxVdbC4tMauLlPmd+PIipfPfjD3snRfy0ogwJ/NKDv7GjmQgPpZoKy/+LcHtzmH9tjJnmvRe3gzSn5Q==" saltValue="IvejEJyKA0ntVtbOZtxTf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3935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384</v>
      </c>
      <c r="BD12" s="229">
        <f>IF(ISNUMBER(Datos!N12),Datos!N12," - ")</f>
        <v>441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0.83552631578947367</v>
      </c>
      <c r="BH12" s="260">
        <f>IF(ISNUMBER(((IF(J_V="SI",Datos!L12/Datos!K12,(Datos!L12+Datos!AB12)/(Datos!K12+Datos!AA12)))*11)/factor_trimestre),((IF(J_V="SI",Datos!L12/Datos!K12,(Datos!L12+Datos!AB12)/(Datos!K12+Datos!AA12)))*11)/factor_trimestre," - ")</f>
        <v>9.4146981627296604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1.7584690974915957E-2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84</v>
      </c>
      <c r="AD13" s="899">
        <f t="shared" si="1"/>
        <v>0</v>
      </c>
      <c r="AE13" s="899">
        <f t="shared" si="1"/>
        <v>0</v>
      </c>
      <c r="AF13" s="899">
        <f t="shared" si="1"/>
        <v>0</v>
      </c>
      <c r="AG13" s="899">
        <f t="shared" si="1"/>
        <v>0</v>
      </c>
      <c r="AH13" s="899">
        <f t="shared" si="1"/>
        <v>36</v>
      </c>
      <c r="AI13" s="899">
        <f t="shared" si="1"/>
        <v>0</v>
      </c>
      <c r="AJ13" s="899">
        <f t="shared" si="1"/>
        <v>0</v>
      </c>
      <c r="AK13" s="899">
        <f t="shared" si="1"/>
        <v>0</v>
      </c>
      <c r="AL13" s="899">
        <f t="shared" si="1"/>
        <v>0</v>
      </c>
      <c r="AM13" s="899">
        <f t="shared" si="1"/>
        <v>3935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384</v>
      </c>
      <c r="BD13" s="899">
        <f t="shared" si="1"/>
        <v>441</v>
      </c>
      <c r="BE13" s="899">
        <f t="shared" si="1"/>
        <v>0</v>
      </c>
      <c r="BF13" s="899">
        <f t="shared" si="1"/>
        <v>0</v>
      </c>
      <c r="BG13" s="899">
        <f>IF(ISNUMBER(Datos!K13/Datos!J13),Datos!K13/Datos!J13," - ")</f>
        <v>0.82768999247554553</v>
      </c>
      <c r="BH13" s="903">
        <f>IF(ISNUMBER(((Datos!L13/Datos!K13)*11)/factor_trimestre),((Datos!L13/Datos!K13)*11)/factor_trimestre," - ")</f>
        <v>9.6845454545454537</v>
      </c>
      <c r="BI13" s="899">
        <f>IF(ISNUMBER('Resol  Asuntos'!D13/NºAsuntos!G13),'Resol  Asuntos'!D13/NºAsuntos!G13," - ")</f>
        <v>0.33595800524934383</v>
      </c>
      <c r="BJ13" s="899" t="str">
        <f>IF(ISNUMBER(Datos!CI13/Datos!CJ13),Datos!CI13/Datos!CJ13," - ")</f>
        <v xml:space="preserve"> - </v>
      </c>
      <c r="BK13" s="899">
        <f>SUBTOTAL(9,BK8:BK12)</f>
        <v>0</v>
      </c>
      <c r="BL13" s="899" t="str">
        <f>IF(ISNUMBER((I13-AB13+L13)/(F13)),(I13-AB13+L13)/(F13)," - ")</f>
        <v xml:space="preserve"> - </v>
      </c>
      <c r="BM13" s="904">
        <f>SUBTOTAL(9,BM9:BM12)</f>
        <v>1.7584690974915957E-2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635</v>
      </c>
      <c r="G16" s="598">
        <f>IF(ISNUMBER(IF(D_I="SI",Datos!I16,Datos!I16+Datos!AC16)),IF(D_I="SI",Datos!I16,Datos!I16+Datos!AC16)," - ")</f>
        <v>628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809</v>
      </c>
      <c r="AC16" s="226">
        <f>IF(ISNUMBER(Datos!Q16),Datos!Q16," - ")</f>
        <v>27</v>
      </c>
      <c r="AD16" s="334"/>
      <c r="AE16" s="484"/>
      <c r="AF16" s="596">
        <f>IF(ISNUMBER(IF(D_I="SI",Datos!L16,Datos!L16+Datos!AF16)),IF(D_I="SI",Datos!L16,Datos!L16+Datos!AF16)," - ")</f>
        <v>745</v>
      </c>
      <c r="AG16" s="334"/>
      <c r="AH16" s="334"/>
      <c r="AI16" s="334"/>
      <c r="AJ16" s="334"/>
      <c r="AK16" s="334"/>
      <c r="AL16" s="479"/>
      <c r="AM16" s="335">
        <f>IF(ISNUMBER(Datos!R16),Datos!R16," - ")</f>
        <v>170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602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0.88030467899891185</v>
      </c>
      <c r="BH16" s="260">
        <f>IF(ISNUMBER(((IF(D_I="SI",Datos!L16/Datos!K16,(Datos!L16+Datos!AF16)/(Datos!K16+Datos!AE16)))*11)/factor_trimestre),((IF(D_I="SI",Datos!L16/Datos!K16,(Datos!L16+Datos!AF16)/(Datos!K16+Datos!AE16)))*11)/factor_trimestre," - ")</f>
        <v>2.7626699629171818</v>
      </c>
      <c r="BI16" s="243">
        <f>IF(ISNUMBER('Resol  Asuntos'!D16/NºAsuntos!G16),'Resol  Asuntos'!D16/NºAsuntos!G16," - ")</f>
        <v>9.0234857849196534E-2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635</v>
      </c>
      <c r="G18" s="898">
        <f>SUBTOTAL(9,G15:G17)</f>
        <v>631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810</v>
      </c>
      <c r="AC18" s="899">
        <f t="shared" si="4"/>
        <v>27</v>
      </c>
      <c r="AD18" s="899">
        <f t="shared" si="4"/>
        <v>0</v>
      </c>
      <c r="AE18" s="899">
        <f t="shared" si="4"/>
        <v>0</v>
      </c>
      <c r="AF18" s="899">
        <f t="shared" si="4"/>
        <v>747</v>
      </c>
      <c r="AG18" s="899">
        <f t="shared" si="4"/>
        <v>0</v>
      </c>
      <c r="AH18" s="899">
        <f t="shared" si="4"/>
        <v>0</v>
      </c>
      <c r="AI18" s="899">
        <f t="shared" si="4"/>
        <v>0</v>
      </c>
      <c r="AJ18" s="899">
        <f t="shared" si="4"/>
        <v>0</v>
      </c>
      <c r="AK18" s="899">
        <f t="shared" si="4"/>
        <v>0</v>
      </c>
      <c r="AL18" s="899">
        <f t="shared" si="4"/>
        <v>0</v>
      </c>
      <c r="AM18" s="899">
        <f t="shared" si="4"/>
        <v>170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602</v>
      </c>
      <c r="BE18" s="899">
        <f t="shared" si="4"/>
        <v>0</v>
      </c>
      <c r="BF18" s="899">
        <f t="shared" si="4"/>
        <v>0</v>
      </c>
      <c r="BG18" s="899">
        <f>IF(ISNUMBER(Datos!K18/Datos!J18),Datos!K18/Datos!J18," - ")</f>
        <v>0.8813928182807399</v>
      </c>
      <c r="BH18" s="903">
        <f>IF(ISNUMBER(((Datos!L18/Datos!K18)*11)/factor_trimestre),((Datos!L18/Datos!K18)*11)/factor_trimestre," - ")</f>
        <v>2.7666666666666671</v>
      </c>
      <c r="BI18" s="899">
        <f>SUBTOTAL(9,BI15:BI17)</f>
        <v>9.0234857849196534E-2</v>
      </c>
      <c r="BJ18" s="899">
        <f>SUBTOTAL(9,BJ15:BJ17)</f>
        <v>0</v>
      </c>
      <c r="BK18" s="899">
        <f>SUBTOTAL(9,BK15:BK17)</f>
        <v>0</v>
      </c>
      <c r="BL18" s="899">
        <f>IF(ISNUMBER((I18-AB18+L18)/(F18)),(I18-AB18+L18)/(F18)," - ")</f>
        <v>-1.2755905511811023</v>
      </c>
      <c r="BM18" s="905">
        <f>IF(ISNUMBER((Datos!P18-Datos!Q18)/(Datos!R18-Datos!P18+Datos!Q18)),(Datos!P18-Datos!Q18)/(Datos!R18-Datos!P18+Datos!Q18)," - ")</f>
        <v>5.9171597633136093E-3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635</v>
      </c>
      <c r="G19" s="820">
        <f t="shared" si="6"/>
        <v>631</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810</v>
      </c>
      <c r="AC19" s="821">
        <f t="shared" si="7"/>
        <v>111</v>
      </c>
      <c r="AD19" s="821">
        <f t="shared" si="7"/>
        <v>0</v>
      </c>
      <c r="AE19" s="821">
        <f t="shared" si="7"/>
        <v>0</v>
      </c>
      <c r="AF19" s="828">
        <f t="shared" si="7"/>
        <v>747</v>
      </c>
      <c r="AG19" s="828">
        <f t="shared" si="7"/>
        <v>0</v>
      </c>
      <c r="AH19" s="828">
        <f t="shared" si="7"/>
        <v>36</v>
      </c>
      <c r="AI19" s="828">
        <f t="shared" si="7"/>
        <v>0</v>
      </c>
      <c r="AJ19" s="821">
        <f t="shared" si="7"/>
        <v>0</v>
      </c>
      <c r="AK19" s="828">
        <f t="shared" si="7"/>
        <v>0</v>
      </c>
      <c r="AL19" s="828">
        <f t="shared" si="7"/>
        <v>0</v>
      </c>
      <c r="AM19" s="828">
        <f t="shared" si="7"/>
        <v>4105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457</v>
      </c>
      <c r="BD19" s="820">
        <f t="shared" si="7"/>
        <v>1043</v>
      </c>
      <c r="BE19" s="820">
        <f t="shared" si="7"/>
        <v>0</v>
      </c>
      <c r="BF19" s="830">
        <f t="shared" si="7"/>
        <v>0</v>
      </c>
      <c r="BG19" s="915">
        <f>IF(ISNUMBER(Datos!K19/Datos!J19),Datos!K19/Datos!J19," - ")</f>
        <v>0.84964412811387902</v>
      </c>
      <c r="BH19" s="915">
        <f>IF(ISNUMBER(((Datos!L19/Datos!K19)*11)/factor_trimestre),((Datos!L19/Datos!K19)*11)/factor_trimestre," - ")</f>
        <v>6.7507853403141356</v>
      </c>
      <c r="BI19" s="813">
        <f>IF(ISNUMBER(Datos!J19/Datos!I19),Datos!J19/Datos!I19," - ")</f>
        <v>0.56882591093117407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-1.2755905511811023</v>
      </c>
      <c r="BM19" s="889">
        <f>IF(ISNUMBER((Datos!P19-Datos!Q19+R19)/(Datos!R19-Datos!P19+Datos!Q19-R19)),(Datos!P19-Datos!Q19+R19)/(Datos!R19-Datos!P19+Datos!Q19-R19)," - ")</f>
        <v>1.7096134786917742E-2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366.61742093541238</v>
      </c>
      <c r="G21" s="552">
        <f>IF(ISNUMBER(STDEV(G8:G18)),STDEV(G8:G18),"-")</f>
        <v>344.24744007762791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443.19916516166859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182.3937133419534</v>
      </c>
      <c r="BD21" s="551"/>
      <c r="BE21" s="551">
        <f>IF(ISNUMBER(STDEV(BE8:BE18)),STDEV(BE8:BE18),"-")</f>
        <v>0</v>
      </c>
      <c r="BF21" s="556">
        <f>IF(ISNUMBER(STDEV(BF8:BF18)),STDEV(BF8:BF18),"-")</f>
        <v>0</v>
      </c>
      <c r="BG21" s="775">
        <f>IF(ISNUMBER(STDEV(BG8:BG18)),STDEV(BG8:BG18),"-")</f>
        <v>2.8611956431548454E-2</v>
      </c>
      <c r="BH21" s="776">
        <f>IF(ISNUMBER(STDEV(BH8:BH18)),STDEV(BH8:BH18),"-")</f>
        <v>3.3945458583312624</v>
      </c>
      <c r="BI21" s="249">
        <f>IF(ISNUMBER(STDEV(BI8:BI18)),STDEV(BI8:BI18),"-")</f>
        <v>0.14431221095530936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M8rm93dAQ0Qpznd05fW50n/R2QlswhEBHafqZa0ArBtrCdMTSESeWl9uzv6FyyUtVIJsnLQv0XWsZL5E85BQg==" saltValue="c9WA4pjmvsbK/Ibr/hkOF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GÜIMAR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84</v>
      </c>
      <c r="AA12" s="332" t="str">
        <f>IF(ISNUMBER(IF(J_V="SI",Datos!L12,Datos!L12+Datos!AB12)-IF(Monitorios="SI",Datos!CD12,0)),
                          IF(J_V="SI",Datos!L12,Datos!L12+Datos!AB12)-IF(Monitorios="SI",Datos!CD12,0),
                          " - ")</f>
        <v xml:space="preserve"> - </v>
      </c>
      <c r="AB12" s="334"/>
      <c r="AC12" s="334"/>
      <c r="AD12" s="484"/>
      <c r="AE12" s="484">
        <f>IF(ISNUMBER(Datos!R12),Datos!R12," - ")</f>
        <v>3935</v>
      </c>
      <c r="AF12" s="229" t="str">
        <f>IF(ISNUMBER(Datos!BV12),Datos!BV12," - ")</f>
        <v xml:space="preserve"> - </v>
      </c>
      <c r="AG12" s="225" t="str">
        <f>IF(ISNUMBER(Datos!DV12),Datos!DV12," - ")</f>
        <v xml:space="preserve"> - </v>
      </c>
      <c r="AH12" s="298"/>
      <c r="AI12" s="227"/>
      <c r="AJ12" s="225">
        <f>IF(ISNUMBER(Datos!M12),Datos!M12," - ")</f>
        <v>384</v>
      </c>
      <c r="AK12" s="229">
        <f>IF(ISNUMBER(Datos!N12),Datos!N12," - ")</f>
        <v>441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9.4146981627296604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1.7584690974915957E-2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84</v>
      </c>
      <c r="AA13" s="900">
        <f t="shared" si="2"/>
        <v>0</v>
      </c>
      <c r="AB13" s="900">
        <f t="shared" si="2"/>
        <v>0</v>
      </c>
      <c r="AC13" s="900">
        <f t="shared" si="2"/>
        <v>0</v>
      </c>
      <c r="AD13" s="900">
        <f t="shared" si="2"/>
        <v>0</v>
      </c>
      <c r="AE13" s="900">
        <f t="shared" si="2"/>
        <v>3935</v>
      </c>
      <c r="AF13" s="908">
        <f t="shared" si="2"/>
        <v>0</v>
      </c>
      <c r="AG13" s="908">
        <f t="shared" si="2"/>
        <v>0</v>
      </c>
      <c r="AH13" s="908">
        <f t="shared" si="2"/>
        <v>0</v>
      </c>
      <c r="AI13" s="908">
        <f t="shared" si="2"/>
        <v>0</v>
      </c>
      <c r="AJ13" s="908">
        <f t="shared" si="2"/>
        <v>384</v>
      </c>
      <c r="AK13" s="908">
        <f t="shared" si="2"/>
        <v>441</v>
      </c>
      <c r="AL13" s="908">
        <f t="shared" si="2"/>
        <v>0</v>
      </c>
      <c r="AM13" s="908">
        <f t="shared" si="2"/>
        <v>0</v>
      </c>
      <c r="AN13" s="908">
        <f t="shared" si="2"/>
        <v>0</v>
      </c>
      <c r="AO13" s="904">
        <f>IF(ISNUMBER(((NºAsuntos!I13/NºAsuntos!G13)*11)/factor_trimestre),((NºAsuntos!I13/NºAsuntos!G13)*11)/factor_trimestre," - ")</f>
        <v>9.4146981627296604</v>
      </c>
      <c r="AP13" s="910" t="str">
        <f>IF(ISNUMBER(Datos!CI13/Datos!CJ13),Datos!CI13/Datos!CJ13," - ")</f>
        <v xml:space="preserve"> - </v>
      </c>
      <c r="AQ13" s="928">
        <f t="shared" ref="AQ13:AV13" si="3">SUBTOTAL(9,AQ9:AQ12)</f>
        <v>0</v>
      </c>
      <c r="AR13" s="928">
        <f t="shared" si="3"/>
        <v>1.7584690974915957E-2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635</v>
      </c>
      <c r="G16" s="225">
        <f>IF(ISNUMBER(IF(D_I="SI",Datos!I16,Datos!I16+Datos!AC16)),IF(D_I="SI",Datos!I16,Datos!I16+Datos!AC16)," - ")</f>
        <v>628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809</v>
      </c>
      <c r="Z16" s="619">
        <f>IF(ISNUMBER(Datos!Q16),Datos!Q16," - ")</f>
        <v>27</v>
      </c>
      <c r="AA16" s="332">
        <f>IF(ISNUMBER(IF(D_I="SI",Datos!L16,Datos!L16+Datos!AF16)),IF(D_I="SI",Datos!L16,Datos!L16+Datos!AF16)," - ")</f>
        <v>745</v>
      </c>
      <c r="AB16" s="334"/>
      <c r="AC16" s="334"/>
      <c r="AD16" s="484"/>
      <c r="AE16" s="484">
        <f>IF(ISNUMBER(Datos!R16),Datos!R16," - ")</f>
        <v>170</v>
      </c>
      <c r="AF16" s="229" t="str">
        <f>IF(ISNUMBER(Datos!BV16),Datos!BV16," - ")</f>
        <v xml:space="preserve"> - </v>
      </c>
      <c r="AG16" s="225"/>
      <c r="AH16" s="298"/>
      <c r="AI16" s="227"/>
      <c r="AJ16" s="225">
        <f>IF(ISNUMBER(Datos!M16),Datos!M16," - ")</f>
        <v>73</v>
      </c>
      <c r="AK16" s="229">
        <f>IF(ISNUMBER(Datos!N16),Datos!N16," - ")</f>
        <v>602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2.7626699629171818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635</v>
      </c>
      <c r="G18" s="898">
        <f>SUBTOTAL(9,G15:G17)</f>
        <v>631</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810</v>
      </c>
      <c r="Z18" s="932">
        <f t="shared" si="5"/>
        <v>27</v>
      </c>
      <c r="AA18" s="932">
        <f t="shared" si="5"/>
        <v>747</v>
      </c>
      <c r="AB18" s="932">
        <f t="shared" si="5"/>
        <v>0</v>
      </c>
      <c r="AC18" s="932">
        <f t="shared" si="5"/>
        <v>0</v>
      </c>
      <c r="AD18" s="932">
        <f t="shared" si="5"/>
        <v>0</v>
      </c>
      <c r="AE18" s="932">
        <f t="shared" si="5"/>
        <v>170</v>
      </c>
      <c r="AF18" s="932">
        <f t="shared" si="5"/>
        <v>0</v>
      </c>
      <c r="AG18" s="932">
        <f t="shared" si="5"/>
        <v>0</v>
      </c>
      <c r="AH18" s="932">
        <f t="shared" si="5"/>
        <v>0</v>
      </c>
      <c r="AI18" s="932">
        <f t="shared" si="5"/>
        <v>0</v>
      </c>
      <c r="AJ18" s="932">
        <f t="shared" si="5"/>
        <v>73</v>
      </c>
      <c r="AK18" s="932">
        <f t="shared" si="5"/>
        <v>602</v>
      </c>
      <c r="AL18" s="932">
        <f t="shared" si="5"/>
        <v>0</v>
      </c>
      <c r="AM18" s="932">
        <f t="shared" si="5"/>
        <v>0</v>
      </c>
      <c r="AN18" s="932">
        <f t="shared" si="5"/>
        <v>0</v>
      </c>
      <c r="AO18" s="934">
        <f>IF(ISNUMBER(((NºAsuntos!I18/NºAsuntos!G18)*11)/factor_trimestre),((NºAsuntos!I18/NºAsuntos!G18)*11)/factor_trimestre," - ")</f>
        <v>2.7666666666666671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635</v>
      </c>
      <c r="G19" s="820">
        <f t="shared" si="7"/>
        <v>631</v>
      </c>
      <c r="H19" s="821">
        <f t="shared" si="7"/>
        <v>0</v>
      </c>
      <c r="I19" s="820">
        <f t="shared" si="7"/>
        <v>0</v>
      </c>
      <c r="J19" s="822">
        <f t="shared" si="7"/>
        <v>0</v>
      </c>
      <c r="K19" s="820">
        <f t="shared" si="7"/>
        <v>0</v>
      </c>
      <c r="L19" s="823">
        <f t="shared" si="7"/>
        <v>0</v>
      </c>
      <c r="M19" s="820">
        <f t="shared" si="7"/>
        <v>0</v>
      </c>
      <c r="N19" s="821">
        <f t="shared" si="7"/>
        <v>180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810</v>
      </c>
      <c r="Z19" s="827">
        <f t="shared" si="8"/>
        <v>111</v>
      </c>
      <c r="AA19" s="828">
        <f t="shared" si="8"/>
        <v>747</v>
      </c>
      <c r="AB19" s="828">
        <f t="shared" si="8"/>
        <v>0</v>
      </c>
      <c r="AC19" s="828">
        <f t="shared" si="8"/>
        <v>0</v>
      </c>
      <c r="AD19" s="829">
        <f t="shared" si="8"/>
        <v>0</v>
      </c>
      <c r="AE19" s="829">
        <f t="shared" si="8"/>
        <v>4105</v>
      </c>
      <c r="AF19" s="830">
        <f t="shared" si="8"/>
        <v>0</v>
      </c>
      <c r="AG19" s="831">
        <f t="shared" si="8"/>
        <v>0</v>
      </c>
      <c r="AH19" s="832">
        <f t="shared" si="8"/>
        <v>0</v>
      </c>
      <c r="AI19" s="830">
        <f t="shared" si="8"/>
        <v>0</v>
      </c>
      <c r="AJ19" s="820">
        <f t="shared" si="8"/>
        <v>457</v>
      </c>
      <c r="AK19" s="820">
        <f t="shared" si="8"/>
        <v>1043</v>
      </c>
      <c r="AL19" s="820">
        <f t="shared" si="8"/>
        <v>0</v>
      </c>
      <c r="AM19" s="833">
        <f t="shared" si="8"/>
        <v>0</v>
      </c>
      <c r="AN19" s="823">
        <f>IF(ISNUMBER(Datos!K19/Datos!J19),Datos!K19/Datos!J19," - ")</f>
        <v>0.84964412811387902</v>
      </c>
      <c r="AO19" s="823">
        <f>IF(ISNUMBER(FIND("06",Criterios!A8,1)),(IF(ISNUMBER(((Datos!R19/Datos!Q19)*11)/factor_trimestre),((Datos!R19/Datos!Q19)*11)/factor_trimestre," - ")),(IF(ISNUMBER(((Datos!L19/Datos!K19)*11)/factor_trimestre),((Datos!L19/Datos!K19)*11)/factor_trimestre," - ")))</f>
        <v>6.7507853403141356</v>
      </c>
      <c r="AP19" s="834" t="str">
        <f>IF(ISNUMBER(Datos!CI19/Datos!CJ19),Datos!CI19/Datos!CJ19," - ")</f>
        <v xml:space="preserve"> - </v>
      </c>
      <c r="AQ19" s="834">
        <f>IF(OR(ISNUMBER(FIND("01",Criterios!A8,1)),ISNUMBER(FIND("02",Criterios!A8,1)),ISNUMBER(FIND("03",Criterios!A8,1)),ISNUMBER(FIND("04",Criterios!A8,1))),(J19-Y19+K19)/(F19-K19),(I19-Y19+K19)/(F19-K19))</f>
        <v>-1.2755905511811023</v>
      </c>
      <c r="AR19" s="834">
        <f>IF(ISNUMBER((Datos!P19-Datos!Q19+O19)/(Datos!R19-Datos!P19+Datos!Q19-O19)),(Datos!P19-Datos!Q19+O19)/(Datos!R19-Datos!P19+Datos!Q19-O19)," - ")</f>
        <v>1.7096134786917742E-2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366.61742093541238</v>
      </c>
      <c r="G21" s="552">
        <f>IF(ISNUMBER(STDEV(G8:G18)),STDEV(G8:G18),"-")</f>
        <v>344.24744007762791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182.3937133419534</v>
      </c>
      <c r="AK21" s="252"/>
      <c r="AL21" s="252">
        <f>IF(ISNUMBER(STDEV(AL8:AL18)),STDEV(AL8:AL18),"-")</f>
        <v>0</v>
      </c>
      <c r="AM21" s="254">
        <f>IF(ISNUMBER(STDEV(AM8:AM18)),STDEV(AM8:AM18),"-")</f>
        <v>0</v>
      </c>
      <c r="AN21" s="539">
        <f>IF(ISNUMBER(STDEV(AN8:AN18)),STDEV(AN8:AN18),"-")</f>
        <v>0</v>
      </c>
      <c r="AO21" s="540">
        <f>IF(ISNUMBER(STDEV(AO8:AO18)),STDEV(AO8:AO18),"-")</f>
        <v>3.3252571115605067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GUljfvUU1zJgYmwlpqfvnTiuQWQ5Ac5BHdP5Uy0DE4eyOE0kL0UhXQpotoeICdYVYswQRWfjq6fs4vNpetW+w==" saltValue="hrm9X3UMfM4ezfJH1CNX9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jRQ5FJcWiFYKM7JU+qv3equ7z68AHUmsUIYMLIQpqiWT9xJ0hSk0XUH9GEuKBT5RUv10uc2XFGDVxfCeypMDw==" saltValue="kiQOCui4/OsotZ+9occ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fwNVdKUpFDZaqfU7rejuGYbPHF4iQ1CFnA2g1VTQ90M/gGkqOFtO31jv1OvdxzAOBvUfg7FNxwbmS40NWi/g==" saltValue="fwA4j+6eSYUBuUaz8HPX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0.33595800524934383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0.23755818370571674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TDzNM0APV0jEOiywxCGfmA+XlsBxwntgIMzcmO6Pf9MLo+qHXNt6lmciT+uRVpJQCRhTboJIgFHyH78F2xPbA==" saltValue="AuAlnCl+4Gl8Zm3ICgYf2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gzAM7rj7d/dvsqjAdgmMRCOY2CI3V3r5Ej8I93V8xSAKS16TB0FuXlz4WaXZ+sAqNkwbUPvgp7DGLKvFyLxmQ==" saltValue="cEmyPRXdTzes3qnvZb/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GÜIMAR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3361</v>
      </c>
      <c r="D12" s="404">
        <f>IF(ISNUMBER(C12/Datos!BH12),C12/Datos!BH12," - ")</f>
        <v>1120.3333333333333</v>
      </c>
      <c r="E12" s="403">
        <f>IF(ISNUMBER(IF(J_V="SI",Datos!J12,Datos!J12+Datos!Z12)),IF(J_V="SI",Datos!J12,Datos!J12+Datos!Z12)," - ")</f>
        <v>1368</v>
      </c>
      <c r="F12" s="404">
        <f>IF(ISNUMBER(E12/B12),E12/B12," - ")</f>
        <v>456</v>
      </c>
      <c r="G12" s="403">
        <f>IF(ISNUMBER(IF(J_V="SI",Datos!K12,Datos!K12+Datos!AA12)),IF(J_V="SI",Datos!K12,Datos!K12+Datos!AA12)," - ")</f>
        <v>1143</v>
      </c>
      <c r="H12" s="404">
        <f>IF(ISNUMBER(G12/B12),G12/B12," - ")</f>
        <v>381</v>
      </c>
      <c r="I12" s="403">
        <f>IF(ISNUMBER(IF(J_V="SI",Datos!L12,Datos!L12+Datos!AB12)),IF(J_V="SI",Datos!L12,Datos!L12+Datos!AB12)," - ")</f>
        <v>3587</v>
      </c>
      <c r="J12" s="404">
        <f>IF(ISNUMBER(I12/B12),I12/B12," - ")</f>
        <v>1195.6666666666667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3361</v>
      </c>
      <c r="D13" s="850" t="str">
        <f>IF(ISNUMBER(C13/Datos!BI13),C13/Datos!BI13," - ")</f>
        <v xml:space="preserve"> - </v>
      </c>
      <c r="E13" s="849">
        <f>SUBTOTAL(9,E8:E12)</f>
        <v>1368</v>
      </c>
      <c r="F13" s="850">
        <f>IF(ISNUMBER(E13/B13),E13/B13," - ")</f>
        <v>456</v>
      </c>
      <c r="G13" s="849">
        <f>SUBTOTAL(9,G8:G12)</f>
        <v>1143</v>
      </c>
      <c r="H13" s="850">
        <f>IF(ISNUMBER(G13/B13),G13/B13," - ")</f>
        <v>381</v>
      </c>
      <c r="I13" s="849">
        <f>SUBTOTAL(9,I8:I12)</f>
        <v>3587</v>
      </c>
      <c r="J13" s="850">
        <f>IF(ISNUMBER(I13/B13),I13/B13," - ")</f>
        <v>1195.6666666666667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628</v>
      </c>
      <c r="D16" s="404">
        <f>IF(ISNUMBER(C16/Datos!BH16),C16/Datos!BH16," - ")</f>
        <v>209.33333333333334</v>
      </c>
      <c r="E16" s="403">
        <f>IF(ISNUMBER(IF(D_I="SI",Datos!J16,Datos!J16+Datos!AD16)),IF(D_I="SI",Datos!J16,Datos!J16+Datos!AD16)," - ")</f>
        <v>919</v>
      </c>
      <c r="F16" s="404">
        <f>IF(ISNUMBER(E16/B16),E16/B16," - ")</f>
        <v>306.33333333333331</v>
      </c>
      <c r="G16" s="403">
        <f>IF(ISNUMBER(IF(D_I="SI",Datos!K16,Datos!K16+Datos!AE16)),IF(D_I="SI",Datos!K16,Datos!K16+Datos!AE16)," - ")</f>
        <v>809</v>
      </c>
      <c r="H16" s="404">
        <f>IF(ISNUMBER(G16/B16),G16/B16," - ")</f>
        <v>269.66666666666669</v>
      </c>
      <c r="I16" s="403">
        <f>IF(ISNUMBER(IF(D_I="SI",Datos!L16,Datos!L16+Datos!AF16)),IF(D_I="SI",Datos!L16,Datos!L16+Datos!AF16)," - ")</f>
        <v>745</v>
      </c>
      <c r="J16" s="404">
        <f>IF(ISNUMBER(I16/B16),I16/B16," - ")</f>
        <v>248.33333333333334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631</v>
      </c>
      <c r="D18" s="850" t="str">
        <f>IF(ISNUMBER(C18/Datos!BI18),C18/Datos!BI18," - ")</f>
        <v xml:space="preserve"> - </v>
      </c>
      <c r="E18" s="849">
        <f>SUBTOTAL(9,E14:E17)</f>
        <v>919</v>
      </c>
      <c r="F18" s="850">
        <f>IF(ISNUMBER(E18/B18),E18/B18," - ")</f>
        <v>306.33333333333331</v>
      </c>
      <c r="G18" s="849">
        <f>SUBTOTAL(9,G14:G17)</f>
        <v>810</v>
      </c>
      <c r="H18" s="850">
        <f>IF(ISNUMBER(G18/B18),G18/B18," - ")</f>
        <v>270</v>
      </c>
      <c r="I18" s="849">
        <f>SUBTOTAL(9,I14:I17)</f>
        <v>747</v>
      </c>
      <c r="J18" s="850">
        <f>IF(ISNUMBER(I18/B18),I18/B18," - ")</f>
        <v>249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3992</v>
      </c>
      <c r="D19" s="795" t="str">
        <f>IF(ISNUMBER(C19/Datos!BI19),C19/Datos!BI19," - ")</f>
        <v xml:space="preserve"> - </v>
      </c>
      <c r="E19" s="794">
        <f>SUBTOTAL(9,E9:E18)</f>
        <v>2287</v>
      </c>
      <c r="F19" s="795">
        <f>IF(ISNUMBER(E19/B19),E19/B19," - ")</f>
        <v>762.33333333333337</v>
      </c>
      <c r="G19" s="794">
        <f>SUBTOTAL(9,G9:G18)</f>
        <v>1953</v>
      </c>
      <c r="H19" s="795">
        <f>IF(ISNUMBER(G19/B19),G19/B19," - ")</f>
        <v>651</v>
      </c>
      <c r="I19" s="794">
        <f>SUBTOTAL(9,I9:I18)</f>
        <v>4334</v>
      </c>
      <c r="J19" s="795">
        <f>IF(ISNUMBER(I19/B19),I19/B19," - ")</f>
        <v>1444.6666666666667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5J/rmdxrnnSb9Zv/3sgWpNLOWhSqwIuvtdYi2f8jssqIlhaLMbkvTgOnzud0fwhk2QqZV5YO9H/q0DJi0F5F2A==" saltValue="OFK4dcl7nm4JQ3tYshn2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384</v>
      </c>
      <c r="AM12" s="690">
        <f>IF(ISNUMBER(Datos!N12+DatosP!N16),Datos!N12+DatosP!N16," - ")</f>
        <v>441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9.4146981627296604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1.7584690974915957E-2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84</v>
      </c>
      <c r="AE13" s="939">
        <f t="shared" si="1"/>
        <v>0</v>
      </c>
      <c r="AF13" s="939">
        <f t="shared" si="1"/>
        <v>0</v>
      </c>
      <c r="AG13" s="939">
        <f t="shared" si="1"/>
        <v>0</v>
      </c>
      <c r="AH13" s="939">
        <f t="shared" si="1"/>
        <v>3935</v>
      </c>
      <c r="AI13" s="939">
        <f t="shared" si="1"/>
        <v>0</v>
      </c>
      <c r="AJ13" s="939">
        <f t="shared" si="1"/>
        <v>0</v>
      </c>
      <c r="AK13" s="939">
        <f t="shared" si="1"/>
        <v>0</v>
      </c>
      <c r="AL13" s="939">
        <f t="shared" si="1"/>
        <v>384</v>
      </c>
      <c r="AM13" s="939">
        <f t="shared" si="1"/>
        <v>441</v>
      </c>
      <c r="AN13" s="939">
        <f t="shared" si="1"/>
        <v>0</v>
      </c>
      <c r="AO13" s="939">
        <f t="shared" si="1"/>
        <v>0</v>
      </c>
      <c r="AP13" s="944">
        <f>IF(ISNUMBER(((Datos!L13/Datos!K13)*11)/factor_trimestre),((Datos!L13/Datos!K13)*11)/factor_trimestre," - ")</f>
        <v>9.6845454545454537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1.7584690974915957E-2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2.7666666666666671</v>
      </c>
      <c r="AQ18" s="944">
        <f>IF(ISNUMBER(((Datos!M18/Datos!L18)*11)/factor_trimestre),((Datos!M18/Datos!L18)*11)/factor_trimestre," - ")</f>
        <v>0.29317269076305225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5.9171597633136093E-3</v>
      </c>
      <c r="AW18" s="946">
        <f>IF(ISNUMBER((Datos!Q18-Datos!R18)/(Datos!S18-Datos!Q18+Datos!R18)),(Datos!Q18-Datos!R18)/(Datos!S18-Datos!Q18+Datos!R18)," - ")</f>
        <v>-0.17044100119189512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84</v>
      </c>
      <c r="AE19" s="957">
        <f t="shared" si="5"/>
        <v>0</v>
      </c>
      <c r="AF19" s="958">
        <f t="shared" si="5"/>
        <v>0</v>
      </c>
      <c r="AG19" s="958">
        <f t="shared" si="5"/>
        <v>0</v>
      </c>
      <c r="AH19" s="958">
        <f t="shared" si="5"/>
        <v>3935</v>
      </c>
      <c r="AI19" s="958">
        <f t="shared" si="5"/>
        <v>0</v>
      </c>
      <c r="AJ19" s="959">
        <f t="shared" si="5"/>
        <v>0</v>
      </c>
      <c r="AK19" s="959">
        <f t="shared" si="5"/>
        <v>0</v>
      </c>
      <c r="AL19" s="951">
        <f t="shared" si="5"/>
        <v>384</v>
      </c>
      <c r="AM19" s="951">
        <f t="shared" si="5"/>
        <v>441</v>
      </c>
      <c r="AN19" s="951">
        <f t="shared" si="5"/>
        <v>0</v>
      </c>
      <c r="AO19" s="951">
        <f t="shared" si="5"/>
        <v>0</v>
      </c>
      <c r="AP19" s="951">
        <f>IF(ISNUMBER(((Datos!L19/Datos!K19)*11)/factor_trimestre),((Datos!L19/Datos!K19)*11)/factor_trimestre," - ")</f>
        <v>6.7507853403141356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1.7096134786917742E-2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221.70250336881628</v>
      </c>
      <c r="AM21" s="736"/>
      <c r="AN21" s="736">
        <f>IF(ISNUMBER(STDEV(AN8:AN18)),STDEV(AN8:AN18),"-")</f>
        <v>0</v>
      </c>
      <c r="AO21" s="742">
        <f>IF(ISNUMBER(STDEV(AO8:AO18)),STDEV(AO8:AO18),"-")</f>
        <v>0</v>
      </c>
      <c r="AP21" s="779">
        <f>IF(ISNUMBER(STDEV(AP8:AP18)),STDEV(AP8:AP18),"-")</f>
        <v>3.9184645644548333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pn/vn69t/xucpoK0cS+6uJnarsBWSVkh+jPwpHg+VM7Ne4cnVSwSmJI23ng4S8zVVzhe8vIB68XIC7pkL+Rjg==" saltValue="KApSxgaAk5P6q4d8Ak5fl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GÜIMAR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1tZhBSVDiAERvIPOGHwYtYuQSfcX6KkTV8qozGgTfLqB6lRwYE1WCAv+Zk+7uKRae3l97Y5rN1LFzMtjBQk2KA==" saltValue="z1f3VZ/wKdTgmO8dtmrx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GÜIMAR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384</v>
      </c>
      <c r="E12" s="404">
        <f t="shared" si="0"/>
        <v>128</v>
      </c>
      <c r="F12" s="403">
        <f>IF(ISNUMBER(Datos!N12),Datos!N12," - ")</f>
        <v>441</v>
      </c>
      <c r="G12" s="404">
        <f t="shared" si="1"/>
        <v>147</v>
      </c>
      <c r="H12" s="403">
        <f>IF(ISNUMBER(Datos!O12),Datos!O12," - ")</f>
        <v>307</v>
      </c>
      <c r="I12" s="404">
        <f t="shared" si="2"/>
        <v>102.33333333333333</v>
      </c>
      <c r="BZ12" s="1186">
        <f>Datos!EZ12</f>
        <v>0</v>
      </c>
    </row>
    <row r="13" spans="1:78" ht="14.25" thickTop="1" thickBot="1">
      <c r="A13" s="848" t="str">
        <f>Datos!A13</f>
        <v>TOTAL</v>
      </c>
      <c r="B13" s="849">
        <f>Datos!AP13</f>
        <v>3</v>
      </c>
      <c r="C13" s="851">
        <f>Datos!AR13</f>
        <v>3</v>
      </c>
      <c r="D13" s="849">
        <f>SUBTOTAL(9,D9:D12)</f>
        <v>384</v>
      </c>
      <c r="E13" s="850">
        <f t="shared" si="0"/>
        <v>128</v>
      </c>
      <c r="F13" s="849">
        <f>SUBTOTAL(9,F9:F12)</f>
        <v>441</v>
      </c>
      <c r="G13" s="850">
        <f t="shared" si="1"/>
        <v>147</v>
      </c>
      <c r="H13" s="849">
        <f>SUBTOTAL(9,H9:H12)</f>
        <v>307</v>
      </c>
      <c r="I13" s="850">
        <f>IF(ISNUMBER(H13/B13),H13/B13," - ")</f>
        <v>102.33333333333333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73</v>
      </c>
      <c r="E16" s="404">
        <f t="shared" si="3"/>
        <v>24.333333333333332</v>
      </c>
      <c r="F16" s="403">
        <f>IF(ISNUMBER(Datos!N16),Datos!N16," - ")</f>
        <v>602</v>
      </c>
      <c r="G16" s="404">
        <f t="shared" si="4"/>
        <v>200.66666666666666</v>
      </c>
      <c r="H16" s="403">
        <f>IF(ISNUMBER(Datos!O16),Datos!O16," - ")</f>
        <v>21</v>
      </c>
      <c r="I16" s="404">
        <f t="shared" si="5"/>
        <v>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73</v>
      </c>
      <c r="E18" s="850">
        <f t="shared" si="3"/>
        <v>24.333333333333332</v>
      </c>
      <c r="F18" s="849">
        <f>SUBTOTAL(9,F15:F17)</f>
        <v>602</v>
      </c>
      <c r="G18" s="850">
        <f t="shared" si="4"/>
        <v>200.66666666666666</v>
      </c>
      <c r="H18" s="849">
        <f>SUBTOTAL(9,H15:H17)</f>
        <v>21</v>
      </c>
      <c r="I18" s="850">
        <f>IF(ISNUMBER(H18/B18),H18/B18," - ")</f>
        <v>7</v>
      </c>
      <c r="BZ18" s="1186"/>
    </row>
    <row r="19" spans="1:78" ht="14.25" thickTop="1" thickBot="1">
      <c r="A19" s="793" t="str">
        <f>Datos!A19</f>
        <v>TOTAL JURISDICCIONES</v>
      </c>
      <c r="B19" s="794">
        <f>Datos!AP19</f>
        <v>3</v>
      </c>
      <c r="C19" s="794">
        <f>Datos!AR19</f>
        <v>3</v>
      </c>
      <c r="D19" s="794">
        <f>SUBTOTAL(9,D8:D18)</f>
        <v>457</v>
      </c>
      <c r="E19" s="795">
        <f>IF(ISNUMBER(D19/B19),D19/B19," - ")</f>
        <v>152.33333333333334</v>
      </c>
      <c r="F19" s="794">
        <f>SUBTOTAL(9,F8:F18)</f>
        <v>1043</v>
      </c>
      <c r="G19" s="795">
        <f>IF(ISNUMBER(F19/B19),F19/B19," - ")</f>
        <v>347.66666666666669</v>
      </c>
      <c r="H19" s="794">
        <f>SUBTOTAL(9,H8:H18)</f>
        <v>328</v>
      </c>
      <c r="I19" s="795">
        <f>IF(ISNUMBER(H19/B19),H19/B19," - ")</f>
        <v>109.33333333333333</v>
      </c>
    </row>
    <row r="22" spans="1:78">
      <c r="A22" s="391" t="str">
        <f>Criterios!A4</f>
        <v>Fecha Informe: 03 jun. 2025</v>
      </c>
    </row>
    <row r="27" spans="1:78">
      <c r="A27" s="414"/>
    </row>
  </sheetData>
  <sheetProtection algorithmName="SHA-512" hashValue="QdCQ3Wl3LWyoF0nsPU7oRZ0FP+vI0gbkkQ4cySjYyDzkbQGjFADeBqMiF5U1/qBBzOYsv9i4Cge7UO7bNR3Z+A==" saltValue="yM3ya3aMI1+GyBFpdkcE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GÜIMAR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152</v>
      </c>
      <c r="C12" s="434">
        <f>IF(ISNUMBER(Datos!Q12),Datos!Q12," - ")</f>
        <v>84</v>
      </c>
      <c r="D12" s="408">
        <f>IF(ISNUMBER(Datos!R12),Datos!R12," - ")</f>
        <v>3935</v>
      </c>
    </row>
    <row r="13" spans="1:4" ht="14.25" thickTop="1" thickBot="1">
      <c r="A13" s="848" t="str">
        <f>Datos!A13</f>
        <v>TOTAL</v>
      </c>
      <c r="B13" s="849">
        <f>SUBTOTAL(9,B9:B12)</f>
        <v>152</v>
      </c>
      <c r="C13" s="853">
        <f>SUBTOTAL(9,C9:C12)</f>
        <v>84</v>
      </c>
      <c r="D13" s="851">
        <f>SUBTOTAL(9,D9:D12)</f>
        <v>3935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27</v>
      </c>
      <c r="D16" s="408">
        <f>IF(ISNUMBER(Datos!R16),Datos!R16," - ")</f>
        <v>170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27</v>
      </c>
      <c r="D18" s="851">
        <f>SUBTOTAL(9,D15:D17)</f>
        <v>170</v>
      </c>
    </row>
    <row r="19" spans="1:4" ht="16.5" customHeight="1" thickTop="1" thickBot="1">
      <c r="A19" s="793" t="str">
        <f>Datos!A19</f>
        <v>TOTAL JURISDICCIONES</v>
      </c>
      <c r="B19" s="798">
        <f>SUBTOTAL(9,B8:B18)</f>
        <v>180</v>
      </c>
      <c r="C19" s="799">
        <f>SUBTOTAL(9,C8:C18)</f>
        <v>111</v>
      </c>
      <c r="D19" s="800">
        <f>SUBTOTAL(9,D8:D18)</f>
        <v>4105</v>
      </c>
    </row>
    <row r="20" spans="1:4" ht="7.5" customHeight="1"/>
    <row r="21" spans="1:4" ht="6" customHeight="1"/>
    <row r="22" spans="1:4">
      <c r="A22" s="391" t="str">
        <f>Criterios!A4</f>
        <v>Fecha Informe: 03 jun. 2025</v>
      </c>
    </row>
    <row r="27" spans="1:4">
      <c r="A27" s="414"/>
    </row>
  </sheetData>
  <sheetProtection algorithmName="SHA-512" hashValue="0f2l4qpM/ObjD5ZvrQ4ix02wD48wNv0bcZpsdzuW8fJ5YqdFe1uP9NS+3tE9NjY1ex8a8F7+x1sP4VRF0MRXuQ==" saltValue="YIn3LSjXFgKLhM1XfTLi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GÜIMAR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0.2239621267297888</v>
      </c>
      <c r="C12" s="456">
        <f>IF(ISNUMBER(
   IF(J_V="SI",(Datos!J12-Datos!T12)/Datos!T12,(Datos!J12+Datos!Z12-(Datos!T12+Datos!AH12))/(Datos!T12+Datos!AH12))
     ),IF(J_V="SI",(Datos!J12-Datos!T12)/Datos!T12,(Datos!J12+Datos!Z12-(Datos!T12+Datos!AH12))/(Datos!T12+Datos!AH12))," - ")</f>
        <v>0.16723549488054607</v>
      </c>
      <c r="D12" s="456">
        <f>IF(ISNUMBER(
   IF(J_V="SI",(Datos!K12-Datos!U12)/Datos!U12,(Datos!K12+Datos!AA12-(Datos!U12+Datos!AI12))/(Datos!U12+Datos!AI12))
     ),IF(J_V="SI",(Datos!K12-Datos!U12)/Datos!U12,(Datos!K12+Datos!AA12-(Datos!U12+Datos!AI12))/(Datos!U12+Datos!AI12))," - ")</f>
        <v>5.2486187845303865E-2</v>
      </c>
      <c r="E12" s="456">
        <f>IF(ISNUMBER(
   IF(J_V="SI",(Datos!L12-Datos!V12)/Datos!V12,(Datos!L12+Datos!AB12-(Datos!V12+Datos!AJ12))/(Datos!V12+Datos!AJ12))
     ),IF(J_V="SI",(Datos!L12-Datos!V12)/Datos!V12,(Datos!L12+Datos!AB12-(Datos!V12+Datos!AJ12))/(Datos!V12+Datos!AJ12))," - ")</f>
        <v>0.26659604519774011</v>
      </c>
      <c r="F12" s="456">
        <f>IF(ISNUMBER((Datos!M12-Datos!W12)/Datos!W12),(Datos!M12-Datos!W12)/Datos!W12," - ")</f>
        <v>0.64102564102564108</v>
      </c>
      <c r="G12" s="457">
        <f>IF(ISNUMBER((Datos!N12-Datos!X12)/Datos!X12),(Datos!N12-Datos!X12)/Datos!X12," - ")</f>
        <v>-0.22631578947368422</v>
      </c>
      <c r="H12" s="455">
        <f>IF(ISNUMBER(((NºAsuntos!G12/NºAsuntos!E12)-Datos!BD12)/Datos!BD12),((NºAsuntos!G12/NºAsuntos!E12)-Datos!BD12)/Datos!BD12," - ")</f>
        <v>-9.8308616845982397E-2</v>
      </c>
      <c r="I12" s="456">
        <f>IF(ISNUMBER(((NºAsuntos!I12/NºAsuntos!G12)-Datos!BE12)/Datos!BE12),((NºAsuntos!I12/NºAsuntos!G12)-Datos!BE12)/Datos!BE12," - ")</f>
        <v>0.20343246289129116</v>
      </c>
      <c r="J12" s="461">
        <f>IF(ISNUMBER((('Resol  Asuntos'!D12/NºAsuntos!G12)-Datos!BF12)/Datos!BF12),(('Resol  Asuntos'!D12/NºAsuntos!G12)-Datos!BF12)/Datos!BF12," - ")</f>
        <v>-0.35991158999861861</v>
      </c>
      <c r="K12" s="462">
        <f>IF(ISNUMBER((((NºAsuntos!C12+NºAsuntos!E12)/NºAsuntos!G12)-Datos!BG12)/Datos!BG12),(((NºAsuntos!C12+NºAsuntos!E12)/NºAsuntos!G12)-Datos!BG12)/Datos!BG12," - ")</f>
        <v>0.14680209384240442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0.22262640960349217</v>
      </c>
      <c r="C13" s="855">
        <f>IF(ISNUMBER(
   IF(J_V="SI",(Datos!J13-Datos!T13)/Datos!T13,(Datos!J13+Datos!Z13-(Datos!T13+Datos!AH13))/(Datos!T13+Datos!AH13))
     ),IF(J_V="SI",(Datos!J13-Datos!T13)/Datos!T13,(Datos!J13+Datos!Z13-(Datos!T13+Datos!AH13))/(Datos!T13+Datos!AH13))," - ")</f>
        <v>0.16723549488054607</v>
      </c>
      <c r="D13" s="855">
        <f>IF(ISNUMBER(
   IF(J_V="SI",(Datos!K13-Datos!U13)/Datos!U13,(Datos!K13+Datos!AA13-(Datos!U13+Datos!AI13))/(Datos!U13+Datos!AI13))
     ),IF(J_V="SI",(Datos!K13-Datos!U13)/Datos!U13,(Datos!K13+Datos!AA13-(Datos!U13+Datos!AI13))/(Datos!U13+Datos!AI13))," - ")</f>
        <v>5.0551470588235295E-2</v>
      </c>
      <c r="E13" s="855">
        <f>IF(ISNUMBER(
   IF(J_V="SI",(Datos!L13-Datos!V13)/Datos!V13,(Datos!L13+Datos!AB13-(Datos!V13+Datos!AJ13))/(Datos!V13+Datos!AJ13))
     ),IF(J_V="SI",(Datos!L13-Datos!V13)/Datos!V13,(Datos!L13+Datos!AB13-(Datos!V13+Datos!AJ13))/(Datos!V13+Datos!AJ13))," - ")</f>
        <v>0.26614895870102367</v>
      </c>
      <c r="F13" s="856">
        <f>IF(ISNUMBER((Datos!M13-Datos!W13)/Datos!W13),(Datos!M13-Datos!W13)/Datos!W13," - ")</f>
        <v>0.6271186440677966</v>
      </c>
      <c r="G13" s="857">
        <f>IF(ISNUMBER((Datos!N13-Datos!X13)/Datos!X13),(Datos!N13-Datos!X13)/Datos!X13," - ")</f>
        <v>-0.22631578947368422</v>
      </c>
      <c r="H13" s="857">
        <f>IF(ISNUMBER(((NºAsuntos!G13/NºAsuntos!E13)-Datos!BD13)/Datos!BD13),((NºAsuntos!G13/NºAsuntos!E13)-Datos!BD13)/Datos!BD13," - ")</f>
        <v>-9.9966137770897884E-2</v>
      </c>
      <c r="I13" s="857">
        <f>IF(ISNUMBER(((NºAsuntos!I13/NºAsuntos!G13)-Datos!BE13)/Datos!BE13),((NºAsuntos!I13/NºAsuntos!G13)-Datos!BE13)/Datos!BE13," - ")</f>
        <v>0.20522315578890088</v>
      </c>
      <c r="J13" s="857">
        <f>IF(ISNUMBER((('Resol  Asuntos'!D13/NºAsuntos!G13)-Datos!BF13)/Datos!BF13),(('Resol  Asuntos'!D13/NºAsuntos!G13)-Datos!BF13)/Datos!BF13," - ")</f>
        <v>-0.36097498302222714</v>
      </c>
      <c r="K13" s="857">
        <f>IF(ISNUMBER((((NºAsuntos!C13+NºAsuntos!E13)/NºAsuntos!G13)-Datos!BG13)/Datos!BG13),(((NºAsuntos!C13+NºAsuntos!E13)/NºAsuntos!G13)-Datos!BG13)/Datos!BG13," - ")</f>
        <v>0.14803502150856485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-7.511045655375552E-2</v>
      </c>
      <c r="C16" s="456">
        <f>IF(ISNUMBER(
   IF(D_I="SI",(Datos!J16-Datos!T16)/Datos!T16,(Datos!J16+Datos!AD16-(Datos!T16+Datos!AL16))/(Datos!T16+Datos!AL16))
     ),IF(D_I="SI",(Datos!J16-Datos!T16)/Datos!T16,(Datos!J16+Datos!AD16-(Datos!T16+Datos!AL16))/(Datos!T16+Datos!AL16))," - ")</f>
        <v>0.15452261306532664</v>
      </c>
      <c r="D16" s="456">
        <f>IF(ISNUMBER(
   IF(D_I="SI",(Datos!K16-Datos!U16)/Datos!U16,(Datos!K16+Datos!AE16-(Datos!U16+Datos!AM16))/(Datos!U16+Datos!AM16))
     ),IF(D_I="SI",(Datos!K16-Datos!U16)/Datos!U16,(Datos!K16+Datos!AE16-(Datos!U16+Datos!AM16))/(Datos!U16+Datos!AM16))," - ")</f>
        <v>-3.2296650717703351E-2</v>
      </c>
      <c r="E16" s="456">
        <f>IF(ISNUMBER(
   IF(D_I="SI",(Datos!L16-Datos!V16)/Datos!V16,(Datos!L16+Datos!AF16-(Datos!V16+Datos!AN16))/(Datos!V16+Datos!AN16))
     ),IF(D_I="SI",(Datos!L16-Datos!V16)/Datos!V16,(Datos!L16+Datos!AF16-(Datos!V16+Datos!AN16))/(Datos!V16+Datos!AN16))," - ")</f>
        <v>0.15325077399380804</v>
      </c>
      <c r="F16" s="456">
        <f>IF(ISNUMBER((Datos!M16-Datos!W16)/Datos!W16),(Datos!M16-Datos!W16)/Datos!W16," - ")</f>
        <v>-0.41129032258064518</v>
      </c>
      <c r="G16" s="457">
        <f>IF(ISNUMBER((Datos!N16-Datos!X16)/Datos!X16),(Datos!N16-Datos!X16)/Datos!X16," - ")</f>
        <v>7.4999999999999997E-2</v>
      </c>
      <c r="H16" s="455">
        <f>IF(ISNUMBER(((NºAsuntos!G16/NºAsuntos!E16)-Datos!BD16)/Datos!BD16),((NºAsuntos!G16/NºAsuntos!E16)-Datos!BD16)/Datos!BD16," - ")</f>
        <v>-0.16181516210151456</v>
      </c>
      <c r="I16" s="456">
        <f>IF(ISNUMBER(((NºAsuntos!I16/NºAsuntos!G16)-Datos!BE16)/Datos!BE16),((NºAsuntos!I16/NºAsuntos!G16)-Datos!BE16)/Datos!BE16," - ")</f>
        <v>0.19173998400349021</v>
      </c>
      <c r="J16" s="461">
        <f>IF(ISNUMBER((('Resol  Asuntos'!D16/NºAsuntos!G16)-Datos!BF16)/Datos!BF16),(('Resol  Asuntos'!D16/NºAsuntos!G16)-Datos!BF16)/Datos!BF16," - ")</f>
        <v>-0.39164240998444916</v>
      </c>
      <c r="K16" s="462">
        <f>IF(ISNUMBER((((NºAsuntos!C16+NºAsuntos!E16)/NºAsuntos!G16)-Datos!BG16)/Datos!BG16),(((NºAsuntos!C16+NºAsuntos!E16)/NºAsuntos!G16)-Datos!BG16)/Datos!BG16," - ")</f>
        <v>8.3817225702373696E-2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-0.82352941176470584</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v>
      </c>
      <c r="E17" s="456">
        <f>IF(ISNUMBER(
   IF(D_I="SI",(Datos!L17-Datos!V17)/Datos!V17,(Datos!L17+Datos!AF17-(Datos!V17+Datos!AN17))/(Datos!V17+Datos!AN17))
     ),IF(D_I="SI",(Datos!L17-Datos!V17)/Datos!V17,(Datos!L17+Datos!AF17-(Datos!V17+Datos!AN17))/(Datos!V17+Datos!AN17))," - ")</f>
        <v>-0.8571428571428571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-0.28571428571428564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-0.16666666666666669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-9.3390804597701146E-2</v>
      </c>
      <c r="C18" s="855">
        <f>IF(ISNUMBER(
   IF(Criterios!B14="SI",(Datos!J18-Datos!T18)/Datos!T18,(Datos!J18+Datos!AD18-(Datos!T18+Datos!AL18))/(Datos!T18+Datos!AL18))
     ),IF(Criterios!B14="SI",(Datos!J18-Datos!T18)/Datos!T18,(Datos!J18+Datos!AD18-(Datos!T18+Datos!AL18))/(Datos!T18+Datos!AL18))," - ")</f>
        <v>0.15307402760351319</v>
      </c>
      <c r="D18" s="855">
        <f>IF(ISNUMBER(
   IF(Criterios!B14="SI",(Datos!K18-Datos!U18)/Datos!U18,(Datos!K18+Datos!AE18-(Datos!U18+Datos!AM18))/(Datos!U18+Datos!AM18))
     ),IF(Criterios!B14="SI",(Datos!K18-Datos!U18)/Datos!U18,(Datos!K18+Datos!AE18-(Datos!U18+Datos!AM18))/(Datos!U18+Datos!AM18))," - ")</f>
        <v>-3.6860879904875146E-2</v>
      </c>
      <c r="E18" s="855">
        <f>IF(ISNUMBER(
   IF(Criterios!B14="SI",(Datos!L18-Datos!V18)/Datos!V18,(Datos!L18+Datos!AF18-(Datos!V18+Datos!AN18))/(Datos!V18+Datos!AN18))
     ),IF(Criterios!B14="SI",(Datos!L18-Datos!V18)/Datos!V18,(Datos!L18+Datos!AF18-(Datos!V18+Datos!AN18))/(Datos!V18+Datos!AN18))," - ")</f>
        <v>0.13181818181818181</v>
      </c>
      <c r="F18" s="856">
        <f>IF(ISNUMBER((Datos!M18-Datos!W18)/Datos!W18),(Datos!M18-Datos!W18)/Datos!W18," - ")</f>
        <v>-0.41129032258064518</v>
      </c>
      <c r="G18" s="857">
        <f>IF(ISNUMBER((Datos!N18-Datos!X18)/Datos!X18),(Datos!N18-Datos!X18)/Datos!X18," - ")</f>
        <v>7.3083778966131913E-2</v>
      </c>
      <c r="H18" s="857">
        <f>IF(ISNUMBER(((NºAsuntos!G18/NºAsuntos!E18)-Datos!BD18)/Datos!BD18),((NºAsuntos!G18/NºAsuntos!E18)-Datos!BD18)/Datos!BD18," - ")</f>
        <v>-0.16472048017865673</v>
      </c>
      <c r="I18" s="857">
        <f>IF(ISNUMBER(((NºAsuntos!I18/NºAsuntos!G18)-Datos!BE18)/Datos!BE18),((NºAsuntos!I18/NºAsuntos!G18)-Datos!BE18)/Datos!BE18," - ")</f>
        <v>0.17513468013468025</v>
      </c>
      <c r="J18" s="857">
        <f>IF(ISNUMBER((('Resol  Asuntos'!D18/NºAsuntos!G18)-Datos!BF18)/Datos!BF18),(('Resol  Asuntos'!D18/NºAsuntos!G18)-Datos!BF18)/Datos!BF18," - ")</f>
        <v>-0.38875945838311426</v>
      </c>
      <c r="K18" s="857">
        <f>IF(ISNUMBER((((NºAsuntos!C18+NºAsuntos!E18)/NºAsuntos!G18)-Datos!BG18)/Datos!BG18),(((NºAsuntos!C18+NºAsuntos!E18)/NºAsuntos!G18)-Datos!BG18)/Datos!BG18," - ")</f>
        <v>7.7910909346497623E-2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0.15878084179970972</v>
      </c>
      <c r="C19" s="802">
        <f>IF(ISNUMBER(
   IF(J_V="SI",(Datos!J19-Datos!T19)/Datos!T19,(Datos!J19+Datos!Z19-(Datos!T19+Datos!AH19))/(Datos!T19+Datos!AH19))
     ),IF(J_V="SI",(Datos!J19-Datos!T19)/Datos!T19,(Datos!J19+Datos!Z19-(Datos!T19+Datos!AH19))/(Datos!T19+Datos!AH19))," - ")</f>
        <v>0.16150330116810563</v>
      </c>
      <c r="D19" s="802">
        <f>IF(ISNUMBER(
   IF(J_V="SI",(Datos!K19-Datos!U19)/Datos!U19,(Datos!K19+Datos!AA19-(Datos!U19+Datos!AI19))/(Datos!U19+Datos!AI19))
     ),IF(J_V="SI",(Datos!K19-Datos!U19)/Datos!U19,(Datos!K19+Datos!AA19-(Datos!U19+Datos!AI19))/(Datos!U19+Datos!AI19))," - ")</f>
        <v>1.2441679626749611E-2</v>
      </c>
      <c r="E19" s="802">
        <f>IF(ISNUMBER(
   IF(J_V="SI",(Datos!L19-Datos!V19)/Datos!V19,(Datos!L19+Datos!AB19-(Datos!V19+Datos!AJ19))/(Datos!V19+Datos!AJ19))
     ),IF(J_V="SI",(Datos!L19-Datos!V19)/Datos!V19,(Datos!L19+Datos!AB19-(Datos!V19+Datos!AJ19))/(Datos!V19+Datos!AJ19))," - ")</f>
        <v>0.24076724878328085</v>
      </c>
      <c r="F19" s="803">
        <f>IF(ISNUMBER((Datos!M19-Datos!W19)/Datos!W19),(Datos!M19-Datos!W19)/Datos!W19," - ")</f>
        <v>0.26944444444444443</v>
      </c>
      <c r="G19" s="804">
        <f>IF(ISNUMBER((Datos!N19-Datos!X19)/Datos!X19),(Datos!N19-Datos!X19)/Datos!X19," - ")</f>
        <v>-7.7807250221043331E-2</v>
      </c>
      <c r="H19" s="805">
        <f>IF(ISNUMBER((Tasas!B19-Datos!BD19)/Datos!BD19),(Tasas!B19-Datos!BD19)/Datos!BD19," - ")</f>
        <v>-0.12833508212283784</v>
      </c>
      <c r="I19" s="806">
        <f>IF(ISNUMBER((Tasas!C19-Datos!BE19)/Datos!BE19),(Tasas!C19-Datos!BE19)/Datos!BE19," - ")</f>
        <v>0.22551972498870912</v>
      </c>
      <c r="J19" s="807">
        <f>IF(ISNUMBER((Tasas!D19-Datos!BF19)/Datos!BF19),(Tasas!D19-Datos!BF19)/Datos!BF19," - ")</f>
        <v>-0.35145973480233766</v>
      </c>
      <c r="K19" s="807">
        <f>IF(ISNUMBER((Tasas!E19-Datos!BG19)/Datos!BG19),(Tasas!E19-Datos!BG19)/Datos!BG19," - ")</f>
        <v>0.14551878641991492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VlN/of+L++C7oxdJKdIdD55JQSwqur5AhFN5yd2BJynI/6veUA1PkpVLxB4gpi6wY0SMJXp1wSWWH0JzrRnsQ==" saltValue="pSPPIZHq6LjitIdwetsx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GÜIMAR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0.83552631578947367</v>
      </c>
      <c r="C12" s="443">
        <f>IF(ISNUMBER(NºAsuntos!I12/NºAsuntos!G12),NºAsuntos!I12/NºAsuntos!G12," - ")</f>
        <v>3.1382327209098864</v>
      </c>
      <c r="D12" s="444">
        <f>IF(ISNUMBER('Resol  Asuntos'!D12/NºAsuntos!G12),'Resol  Asuntos'!D12/NºAsuntos!G12," - ")</f>
        <v>0.33595800524934383</v>
      </c>
      <c r="E12" s="445">
        <f>IF(ISNUMBER((NºAsuntos!C12+NºAsuntos!E12)/NºAsuntos!G12),(NºAsuntos!C12+NºAsuntos!E12)/NºAsuntos!G12," - ")</f>
        <v>4.137357830271216</v>
      </c>
      <c r="G12" s="463"/>
    </row>
    <row r="13" spans="1:7" ht="14.25" thickTop="1" thickBot="1">
      <c r="A13" s="848" t="str">
        <f>Datos!A13</f>
        <v>TOTAL</v>
      </c>
      <c r="B13" s="858">
        <f>IF(ISNUMBER(NºAsuntos!G13/NºAsuntos!E13),NºAsuntos!G13/NºAsuntos!E13," - ")</f>
        <v>0.83552631578947367</v>
      </c>
      <c r="C13" s="859">
        <f>IF(ISNUMBER(NºAsuntos!I13/NºAsuntos!G13),NºAsuntos!I13/NºAsuntos!G13," - ")</f>
        <v>3.1382327209098864</v>
      </c>
      <c r="D13" s="860">
        <f>IF(ISNUMBER('Resol  Asuntos'!D13/NºAsuntos!G13),'Resol  Asuntos'!D13/NºAsuntos!G13," - ")</f>
        <v>0.33595800524934383</v>
      </c>
      <c r="E13" s="861">
        <f>IF(ISNUMBER((NºAsuntos!C13+NºAsuntos!E13)/NºAsuntos!G13),(NºAsuntos!C13+NºAsuntos!E13)/NºAsuntos!G13," - ")</f>
        <v>4.137357830271216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0.88030467899891185</v>
      </c>
      <c r="C16" s="443">
        <f>IF(ISNUMBER(NºAsuntos!I16/NºAsuntos!G16),NºAsuntos!I16/NºAsuntos!G16," - ")</f>
        <v>0.9208899876390606</v>
      </c>
      <c r="D16" s="444">
        <f>IF(ISNUMBER('Resol  Asuntos'!D16/NºAsuntos!G16),'Resol  Asuntos'!D16/NºAsuntos!G16," - ")</f>
        <v>9.0234857849196534E-2</v>
      </c>
      <c r="E16" s="445">
        <f>IF(ISNUMBER((NºAsuntos!C16+NºAsuntos!E16)/NºAsuntos!G16),(NºAsuntos!C16+NºAsuntos!E16)/NºAsuntos!G16," - ")</f>
        <v>1.9122373300370827</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2</v>
      </c>
      <c r="D17" s="444">
        <f>IF(ISNUMBER('Resol  Asuntos'!D17/NºAsuntos!G17),'Resol  Asuntos'!D17/NºAsuntos!G17," - ")</f>
        <v>0</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0.8813928182807399</v>
      </c>
      <c r="C18" s="859">
        <f>IF(ISNUMBER(NºAsuntos!I18/NºAsuntos!G18),NºAsuntos!I18/NºAsuntos!G18," - ")</f>
        <v>0.92222222222222228</v>
      </c>
      <c r="D18" s="862">
        <f>IF(ISNUMBER('Resol  Asuntos'!D18/NºAsuntos!G18),'Resol  Asuntos'!D18/NºAsuntos!G18," - ")</f>
        <v>9.0123456790123457E-2</v>
      </c>
      <c r="E18" s="861">
        <f>IF(ISNUMBER((NºAsuntos!C18+NºAsuntos!E18)/NºAsuntos!G18),(NºAsuntos!C18+NºAsuntos!E18)/NºAsuntos!G18," - ")</f>
        <v>1.9135802469135803</v>
      </c>
      <c r="G18" s="463"/>
    </row>
    <row r="19" spans="1:7" ht="15.75" customHeight="1" thickTop="1" thickBot="1">
      <c r="A19" s="793" t="str">
        <f>Datos!A19</f>
        <v>TOTAL JURISDICCIONES</v>
      </c>
      <c r="B19" s="808">
        <f>IF(ISNUMBER(NºAsuntos!G19/NºAsuntos!E19),NºAsuntos!G19/NºAsuntos!E19," - ")</f>
        <v>0.85395714910362919</v>
      </c>
      <c r="C19" s="809">
        <f>IF(ISNUMBER(NºAsuntos!I19/NºAsuntos!G19),NºAsuntos!I19/NºAsuntos!G19," - ")</f>
        <v>2.2191500256016385</v>
      </c>
      <c r="D19" s="810">
        <f>IF(ISNUMBER('Resol  Asuntos'!D19/NºAsuntos!G19),'Resol  Asuntos'!D19/NºAsuntos!G19," - ")</f>
        <v>0.23399897593445981</v>
      </c>
      <c r="E19" s="811">
        <f>IF(ISNUMBER((NºAsuntos!C19+NºAsuntos!E19)/NºAsuntos!G19),(NºAsuntos!C19+NºAsuntos!E19)/NºAsuntos!G19," - ")</f>
        <v>3.21505376344086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Yd5dM4iuDsXhza8g1uDivyMSmXIjJSUU1uxALOGB/DymlRV9+zzC1g8OaHS1uH7JRlX8N6GUoeBuEx2iauvIQ==" saltValue="GroiJp0oWWkiuMHjorCJ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GÜIMAR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84</v>
      </c>
      <c r="Y12" s="334">
        <f t="shared" si="0"/>
        <v>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384</v>
      </c>
      <c r="AJ12" s="229" t="str">
        <f>IF(ISNUMBER(Datos!BW12),Datos!BW12," - ")</f>
        <v xml:space="preserve"> - </v>
      </c>
      <c r="AK12" s="228" t="str">
        <f>IF(ISNUMBER(Datos!BX12),Datos!BX12," - ")</f>
        <v xml:space="preserve"> - </v>
      </c>
      <c r="AL12" s="243">
        <f>IF(ISNUMBER(NºAsuntos!G12/NºAsuntos!E12),NºAsuntos!G12/NºAsuntos!E12," - ")</f>
        <v>0.83552631578947367</v>
      </c>
      <c r="AM12" s="260">
        <f>IF(ISNUMBER(((NºAsuntos!I12/NºAsuntos!G12)*11)/factor_trimestre),((NºAsuntos!I12/NºAsuntos!G12)*11)/factor_trimestre," - ")</f>
        <v>9.4146981627296604</v>
      </c>
      <c r="AN12" s="244">
        <f>IF(ISNUMBER('Resol  Asuntos'!D12/NºAsuntos!G12),'Resol  Asuntos'!D12/NºAsuntos!G12," - ")</f>
        <v>0.33595800524934383</v>
      </c>
      <c r="AO12" s="245">
        <f>IF(ISNUMBER((NºAsuntos!C12+NºAsuntos!E12)/NºAsuntos!G12),(NºAsuntos!C12+NºAsuntos!E12)/NºAsuntos!G12," - ")</f>
        <v>4.137357830271216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152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84</v>
      </c>
      <c r="Y13" s="868">
        <f t="shared" si="4"/>
        <v>84</v>
      </c>
      <c r="Z13" s="868">
        <f t="shared" si="4"/>
        <v>0</v>
      </c>
      <c r="AA13" s="868">
        <f t="shared" si="4"/>
        <v>0</v>
      </c>
      <c r="AB13" s="868">
        <f t="shared" si="4"/>
        <v>3935</v>
      </c>
      <c r="AC13" s="868">
        <f t="shared" si="4"/>
        <v>0</v>
      </c>
      <c r="AD13" s="868">
        <f t="shared" si="4"/>
        <v>0</v>
      </c>
      <c r="AE13" s="872">
        <f t="shared" si="4"/>
        <v>0</v>
      </c>
      <c r="AF13" s="865">
        <f t="shared" si="4"/>
        <v>0</v>
      </c>
      <c r="AG13" s="873">
        <f t="shared" si="4"/>
        <v>0</v>
      </c>
      <c r="AH13" s="870">
        <f t="shared" si="4"/>
        <v>0</v>
      </c>
      <c r="AI13" s="865">
        <f t="shared" si="4"/>
        <v>384</v>
      </c>
      <c r="AJ13" s="867">
        <f t="shared" si="4"/>
        <v>0</v>
      </c>
      <c r="AK13" s="870">
        <f>SUBTOTAL(9,AK9:AK12)</f>
        <v>0</v>
      </c>
      <c r="AL13" s="874">
        <f>IF(ISNUMBER(NºAsuntos!G13/NºAsuntos!E13),NºAsuntos!G13/NºAsuntos!E13," - ")</f>
        <v>0.83552631578947367</v>
      </c>
      <c r="AM13" s="874">
        <f>IF(ISNUMBER(((NºAsuntos!I13/NºAsuntos!G13)*11)/factor_trimestre),((NºAsuntos!I13/NºAsuntos!G13)*11)/factor_trimestre," - ")</f>
        <v>9.4146981627296604</v>
      </c>
      <c r="AN13" s="875">
        <f>IF(ISNUMBER('Resol  Asuntos'!D13/NºAsuntos!G13),'Resol  Asuntos'!D13/NºAsuntos!G13," - ")</f>
        <v>0.33595800524934383</v>
      </c>
      <c r="AO13" s="876">
        <f>IF(ISNUMBER((NºAsuntos!C13+NºAsuntos!E13)/NºAsuntos!G13),(NºAsuntos!C13+NºAsuntos!E13)/NºAsuntos!G13," - ")</f>
        <v>4.137357830271216</v>
      </c>
      <c r="AP13" s="877" t="str">
        <f t="shared" si="2"/>
        <v xml:space="preserve"> - </v>
      </c>
      <c r="AQ13" s="877" t="str">
        <f>IF(ISNUMBER((H13-W13+K13)/(F13)),(H13-W13+K13)/(F13)," - ")</f>
        <v xml:space="preserve"> - </v>
      </c>
      <c r="AR13" s="878">
        <f>IF(ISNUMBER((Datos!P13-Datos!Q13)/(Datos!R13-Datos!P13+Datos!Q13)),(Datos!P13-Datos!Q13)/(Datos!R13-Datos!P13+Datos!Q13)," - ")</f>
        <v>1.7584690974915957E-2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635</v>
      </c>
      <c r="G16" s="333">
        <f>IF(ISNUMBER(IF(D_I="SI",Datos!I16,Datos!I16+Datos!AC16)),IF(D_I="SI",Datos!I16,Datos!I16+Datos!AC16)," - ")</f>
        <v>628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809</v>
      </c>
      <c r="X16" s="226">
        <f>IF(ISNUMBER(Datos!Q16),Datos!Q16," - ")</f>
        <v>27</v>
      </c>
      <c r="Y16" s="334">
        <f t="shared" ref="Y16:Y17" si="7">SUM(W16:X16)</f>
        <v>836</v>
      </c>
      <c r="Z16" s="335" t="str">
        <f>IF(ISNUMBER(Datos!CC16),Datos!CC16," - ")</f>
        <v xml:space="preserve"> - </v>
      </c>
      <c r="AA16" s="332">
        <f>IF(ISNUMBER(IF(D_I="SI",Datos!L16,Datos!L16+Datos!AF16)),IF(D_I="SI",Datos!L16,Datos!L16+Datos!AF16)," - ")</f>
        <v>745</v>
      </c>
      <c r="AB16" s="334">
        <f>IF(ISNUMBER(Datos!R16),Datos!R16," - ")</f>
        <v>170</v>
      </c>
      <c r="AC16" s="334">
        <f t="shared" si="6"/>
        <v>915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0.88030467899891185</v>
      </c>
      <c r="AM16" s="260">
        <f>IF(ISNUMBER(((NºAsuntos!I16/NºAsuntos!G16)*11)/factor_trimestre),((NºAsuntos!I16/NºAsuntos!G16)*11)/factor_trimestre," - ")</f>
        <v>2.7626699629171818</v>
      </c>
      <c r="AN16" s="244">
        <f>IF(ISNUMBER('Resol  Asuntos'!D16/NºAsuntos!G16),'Resol  Asuntos'!D16/NºAsuntos!G16," - ")</f>
        <v>9.0234857849196534E-2</v>
      </c>
      <c r="AO16" s="245">
        <f>IF(ISNUMBER((NºAsuntos!C16+NºAsuntos!E16)/NºAsuntos!G16),(NºAsuntos!C16+NºAsuntos!E16)/NºAsuntos!G16," - ")</f>
        <v>1.9122373300370827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6</v>
      </c>
      <c r="AN17" s="244">
        <f>IF(ISNUMBER('Resol  Asuntos'!D17/NºAsuntos!G17),'Resol  Asuntos'!D17/NºAsuntos!G17," - ")</f>
        <v>0</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635</v>
      </c>
      <c r="G18" s="866">
        <f>SUBTOTAL(9,G15:G17)</f>
        <v>631</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810</v>
      </c>
      <c r="X18" s="867">
        <f t="shared" si="11"/>
        <v>27</v>
      </c>
      <c r="Y18" s="868">
        <f t="shared" si="11"/>
        <v>837</v>
      </c>
      <c r="Z18" s="868">
        <f t="shared" si="11"/>
        <v>0</v>
      </c>
      <c r="AA18" s="868">
        <f t="shared" si="11"/>
        <v>747</v>
      </c>
      <c r="AB18" s="868">
        <f t="shared" si="11"/>
        <v>170</v>
      </c>
      <c r="AC18" s="868">
        <f t="shared" si="11"/>
        <v>917</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0.8813928182807399</v>
      </c>
      <c r="AM18" s="874">
        <f>IF(ISNUMBER(((NºAsuntos!I18/NºAsuntos!G18)*11)/factor_trimestre),((NºAsuntos!I18/NºAsuntos!G18)*11)/factor_trimestre," - ")</f>
        <v>2.7666666666666671</v>
      </c>
      <c r="AN18" s="875">
        <f>IF(ISNUMBER('Resol  Asuntos'!D18/NºAsuntos!G18),'Resol  Asuntos'!D18/NºAsuntos!G18," - ")</f>
        <v>9.0123456790123457E-2</v>
      </c>
      <c r="AO18" s="876">
        <f>IF(ISNUMBER((NºAsuntos!C18+NºAsuntos!E18)/NºAsuntos!G18),(NºAsuntos!C18+NºAsuntos!E18)/NºAsuntos!G18," - ")</f>
        <v>1.9135802469135803</v>
      </c>
      <c r="AP18" s="877" t="str">
        <f t="shared" si="2"/>
        <v xml:space="preserve"> - </v>
      </c>
      <c r="AQ18" s="877">
        <f>IF(ISNUMBER((H18-W18+K18)/(F18)),(H18-W18+K18)/(F18)," - ")</f>
        <v>-1.2755905511811023</v>
      </c>
      <c r="AR18" s="878">
        <f>IF(ISNUMBER((Datos!P18-Datos!Q18)/(Datos!R18-Datos!P18+Datos!Q18)),(Datos!P18-Datos!Q18)/(Datos!R18-Datos!P18+Datos!Q18)," - ")</f>
        <v>5.9171597633136093E-3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635</v>
      </c>
      <c r="G19" s="821">
        <f t="shared" si="13"/>
        <v>631</v>
      </c>
      <c r="H19" s="820">
        <f t="shared" si="13"/>
        <v>0</v>
      </c>
      <c r="I19" s="822">
        <f t="shared" si="13"/>
        <v>0</v>
      </c>
      <c r="J19" s="822">
        <f t="shared" si="13"/>
        <v>0</v>
      </c>
      <c r="K19" s="881">
        <f t="shared" si="13"/>
        <v>0</v>
      </c>
      <c r="L19" s="822">
        <f t="shared" si="13"/>
        <v>180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810</v>
      </c>
      <c r="X19" s="821">
        <f t="shared" si="14"/>
        <v>111</v>
      </c>
      <c r="Y19" s="828">
        <f t="shared" si="14"/>
        <v>921</v>
      </c>
      <c r="Z19" s="828">
        <f t="shared" si="14"/>
        <v>0</v>
      </c>
      <c r="AA19" s="828">
        <f t="shared" si="14"/>
        <v>747</v>
      </c>
      <c r="AB19" s="828">
        <f t="shared" si="14"/>
        <v>4105</v>
      </c>
      <c r="AC19" s="828">
        <f t="shared" si="14"/>
        <v>917</v>
      </c>
      <c r="AD19" s="828">
        <f t="shared" si="14"/>
        <v>0</v>
      </c>
      <c r="AE19" s="830">
        <f t="shared" si="14"/>
        <v>0</v>
      </c>
      <c r="AF19" s="831">
        <f t="shared" si="14"/>
        <v>0</v>
      </c>
      <c r="AG19" s="832">
        <f t="shared" si="14"/>
        <v>0</v>
      </c>
      <c r="AH19" s="830">
        <f t="shared" si="14"/>
        <v>0</v>
      </c>
      <c r="AI19" s="820">
        <f t="shared" si="14"/>
        <v>457</v>
      </c>
      <c r="AJ19" s="820">
        <f t="shared" si="14"/>
        <v>0</v>
      </c>
      <c r="AK19" s="830">
        <f t="shared" si="14"/>
        <v>0</v>
      </c>
      <c r="AL19" s="884">
        <f>IF(ISNUMBER(NºAsuntos!G19/NºAsuntos!E19),NºAsuntos!G19/NºAsuntos!E19," - ")</f>
        <v>0.85395714910362919</v>
      </c>
      <c r="AM19" s="885">
        <f>IF(ISNUMBER(((NºAsuntos!I19/NºAsuntos!G19)*11)/factor_trimestre),((NºAsuntos!I19/NºAsuntos!G19)*11)/factor_trimestre," - ")</f>
        <v>6.6574500768049161</v>
      </c>
      <c r="AN19" s="885">
        <f>IF(ISNUMBER('Resol  Asuntos'!D19/NºAsuntos!G19),'Resol  Asuntos'!D19/NºAsuntos!G19," - ")</f>
        <v>0.23399897593445981</v>
      </c>
      <c r="AO19" s="886">
        <f>IF(ISNUMBER((NºAsuntos!C19+NºAsuntos!E19)/NºAsuntos!G19),(NºAsuntos!C19+NºAsuntos!E19)/NºAsuntos!G19," - ")</f>
        <v>3.21505376344086</v>
      </c>
      <c r="AP19" s="887" t="str">
        <f t="shared" si="2"/>
        <v xml:space="preserve"> - </v>
      </c>
      <c r="AQ19" s="888">
        <f>IF(OR(ISNUMBER(FIND("01",Criterios!A8,1)),ISNUMBER(FIND("02",Criterios!A8,1)),ISNUMBER(FIND("03",Criterios!A8,1)),ISNUMBER(FIND("04",Criterios!A8,1))),(I19-W19+K19)/(F19-K19),(H19-W19+K19)/(F19-K19))</f>
        <v>-1.2755905511811023</v>
      </c>
      <c r="AR19" s="889">
        <f>IF(ISNUMBER((Datos!P19-Datos!Q19)/(Datos!R19-Datos!P19+Datos!Q19)),(Datos!P19-Datos!Q19)/(Datos!R19-Datos!P19+Datos!Q19)," - ")</f>
        <v>1.7096134786917742E-2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366.61742093541238</v>
      </c>
      <c r="G21" s="253">
        <f>IF(ISNUMBER(STDEV(G8:G18)),STDEV(G8:G18),"-")</f>
        <v>344.24744007762791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443.19916516166859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182.3937133419534</v>
      </c>
      <c r="AJ21" s="252">
        <f t="shared" si="18"/>
        <v>0</v>
      </c>
      <c r="AK21" s="254">
        <f t="shared" si="18"/>
        <v>0</v>
      </c>
      <c r="AL21" s="249">
        <f t="shared" si="18"/>
        <v>2.6170689349110984E-2</v>
      </c>
      <c r="AM21" s="250">
        <f t="shared" si="18"/>
        <v>3.3252571115605067</v>
      </c>
      <c r="AN21" s="250">
        <f t="shared" si="18"/>
        <v>0.15550387821467104</v>
      </c>
      <c r="AO21" s="251">
        <f t="shared" si="18"/>
        <v>1.1122814153634335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YTfd/ncXT9blcJuiHyF/c+Vi1hS+FT5QI7WI4ArYmdvdVF/B/lzC98qtyEBuOCh+k8kHNXmKVYUSrWfBzOyjg==" saltValue="zoe/0AvUoVrfgXSL/N+sp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GÜIMAR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0.64102564102564108</v>
      </c>
      <c r="I12" s="350">
        <f>IF(ISNUMBER((Tasas!C12-Datos!BE12)/Datos!BE12),(Tasas!C12-Datos!BE12)/Datos!BE12," - ")</f>
        <v>0.20343246289129116</v>
      </c>
      <c r="J12" s="349">
        <f>IF(ISNUMBER((Tasas!D12-Datos!BF12)/Datos!BF12),(Tasas!D12-Datos!BF12)/Datos!BF12," - ")</f>
        <v>-0.35991158999861861</v>
      </c>
      <c r="K12" s="351">
        <f>IF(ISNUMBER((Tasas!E12-Datos!BG12)/Datos!BG12),(Tasas!E12-Datos!BG12)/Datos!BG12," - ")</f>
        <v>0.14680209384240442</v>
      </c>
      <c r="M12" t="e">
        <f>IF(Monitorios="SI",Datos!CE12,0)</f>
        <v>#REF!</v>
      </c>
      <c r="N12" t="e">
        <f>IF(Monitorios="SI",Datos!CF12,0)</f>
        <v>#REF!</v>
      </c>
      <c r="O12" t="e">
        <f>IF(Monitorios="SI",Datos!CG12,0)</f>
        <v>#REF!</v>
      </c>
      <c r="P12" t="e">
        <f>IF(Monitorios="SI",Datos!CH12,0)</f>
        <v>#REF!</v>
      </c>
      <c r="Q12">
        <f>IF(J_V="SI",0,Datos!AG12)</f>
        <v>22</v>
      </c>
      <c r="R12">
        <f>IF(J_V="SI",0,Datos!AH12)</f>
        <v>34</v>
      </c>
      <c r="S12">
        <f>IF(J_V="SI",0,Datos!AI12)</f>
        <v>28</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0.6271186440677966</v>
      </c>
      <c r="I13" s="357">
        <f>IF(ISNUMBER((Tasas!C13-Datos!BE13)/Datos!BE13),(Tasas!C13-Datos!BE13)/Datos!BE13," - ")</f>
        <v>0.20522315578890088</v>
      </c>
      <c r="J13" s="355">
        <f>IF(ISNUMBER((Tasas!D13-Datos!BF13)/Datos!BF13),(Tasas!D13-Datos!BF13)/Datos!BF13," - ")</f>
        <v>-0.36097498302222714</v>
      </c>
      <c r="K13" s="358">
        <f>IF(ISNUMBER((Tasas!E13-Datos!BG13)/Datos!BG13),(Tasas!E13-Datos!BG13)/Datos!BG13," - ")</f>
        <v>0.14803502150856485</v>
      </c>
      <c r="M13" t="e">
        <f>IF(Monitorios="SI",Datos!CE13,0)</f>
        <v>#REF!</v>
      </c>
      <c r="N13" t="e">
        <f>IF(Monitorios="SI",Datos!CF13,0)</f>
        <v>#REF!</v>
      </c>
      <c r="O13" t="e">
        <f>IF(Monitorios="SI",Datos!CG13,0)</f>
        <v>#REF!</v>
      </c>
      <c r="P13" t="e">
        <f>IF(Monitorios="SI",Datos!CH13,0)</f>
        <v>#REF!</v>
      </c>
      <c r="Q13">
        <f>IF(J_V="SI",0,Datos!AG13)</f>
        <v>22</v>
      </c>
      <c r="R13">
        <f>IF(J_V="SI",0,Datos!AH13)</f>
        <v>34</v>
      </c>
      <c r="S13">
        <f>IF(J_V="SI",0,Datos!AI13)</f>
        <v>28</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-7.511045655375552E-2</v>
      </c>
      <c r="E16" s="348">
        <f>IF(ISNUMBER(
   IF(D_I="SI",(Datos!J16-Datos!T16)/Datos!T16,(Datos!J16+Datos!AD16-(Datos!T16+Datos!AL16))/(Datos!T16+Datos!AL16))
     ),IF(D_I="SI",(Datos!J16-Datos!T16)/Datos!T16,(Datos!J16+Datos!AD16-(Datos!T16+Datos!AL16))/(Datos!T16+Datos!AL16))," - ")</f>
        <v>0.15452261306532664</v>
      </c>
      <c r="F16" s="348">
        <f>IF(ISNUMBER(
   IF(D_I="SI",(Datos!K16-Datos!U16)/Datos!U16,(Datos!K16+Datos!AE16-(Datos!U16+Datos!AM16))/(Datos!U16+Datos!AM16))
     ),IF(D_I="SI",(Datos!K16-Datos!U16)/Datos!U16,(Datos!K16+Datos!AE16-(Datos!U16+Datos!AM16))/(Datos!U16+Datos!AM16))," - ")</f>
        <v>-3.2296650717703351E-2</v>
      </c>
      <c r="G16" s="349">
        <f>IF(ISNUMBER(
   IF(D_I="SI",(Datos!L16-Datos!V16)/Datos!V16,(Datos!L16+Datos!AF16-(Datos!V16+Datos!AN16))/(Datos!V16+Datos!AN16))
     ),IF(D_I="SI",(Datos!L16-Datos!V16)/Datos!V16,(Datos!L16+Datos!AF16-(Datos!V16+Datos!AN16))/(Datos!V16+Datos!AN16))," - ")</f>
        <v>0.15325077399380804</v>
      </c>
      <c r="H16" s="230">
        <f>IF(ISNUMBER((Datos!M16-Datos!W16)/Datos!W16),(Datos!M16-Datos!W16)/Datos!W16," - ")</f>
        <v>-0.41129032258064518</v>
      </c>
      <c r="I16" s="350">
        <f>IF(ISNUMBER((Tasas!C16-Datos!BE16)/Datos!BE16),(Tasas!C16-Datos!BE16)/Datos!BE16," - ")</f>
        <v>0.19173998400349021</v>
      </c>
      <c r="J16" s="349">
        <f>IF(ISNUMBER((Tasas!D16-Datos!BF16)/Datos!BF16),(Tasas!D16-Datos!BF16)/Datos!BF16," - ")</f>
        <v>-0.39164240998444916</v>
      </c>
      <c r="K16" s="351">
        <f>IF(ISNUMBER((Tasas!E16-Datos!BG16)/Datos!BG16),(Tasas!E16-Datos!BG16)/Datos!BG16," - ")</f>
        <v>8.3817225702373696E-2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-0.82352941176470584</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v>
      </c>
      <c r="G17" s="349">
        <f>IF(ISNUMBER(
   IF(D_I="SI",(Datos!L17-Datos!V17)/Datos!V17,(Datos!L17+Datos!AF17-(Datos!V17+Datos!AN17))/(Datos!V17+Datos!AN17))
     ),IF(D_I="SI",(Datos!L17-Datos!V17)/Datos!V17,(Datos!L17+Datos!AF17-(Datos!V17+Datos!AN17))/(Datos!V17+Datos!AN17))," - ")</f>
        <v>-0.8571428571428571</v>
      </c>
      <c r="H17" s="230" t="str">
        <f>IF(ISNUMBER((Datos!M17-Datos!W17)/Datos!W17),(Datos!M17-Datos!W17)/Datos!W17," - ")</f>
        <v xml:space="preserve"> - </v>
      </c>
      <c r="I17" s="350">
        <f>IF(ISNUMBER((Tasas!C17-Datos!BE17)/Datos!BE17),(Tasas!C17-Datos!BE17)/Datos!BE17," - ")</f>
        <v>-0.28571428571428564</v>
      </c>
      <c r="J17" s="349" t="str">
        <f>IF(ISNUMBER((Tasas!D17-Datos!BF17)/Datos!BF17),(Tasas!D17-Datos!BF17)/Datos!BF17," - ")</f>
        <v xml:space="preserve"> - </v>
      </c>
      <c r="K17" s="351">
        <f>IF(ISNUMBER((Tasas!E17-Datos!BG17)/Datos!BG17),(Tasas!E17-Datos!BG17)/Datos!BG17," - ")</f>
        <v>-0.16666666666666669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-9.3390804597701146E-2</v>
      </c>
      <c r="E18" s="354">
        <f>IF(ISNUMBER(
   IF(D_I="SI",(Datos!J18-Datos!T18)/Datos!T18,(Datos!J18+Datos!AD18-(Datos!T18+Datos!AL18))/(Datos!T18+Datos!AL18))
     ),IF(D_I="SI",(Datos!J18-Datos!T18)/Datos!T18,(Datos!J18+Datos!AD18-(Datos!T18+Datos!AL18))/(Datos!T18+Datos!AL18))," - ")</f>
        <v>0.15307402760351319</v>
      </c>
      <c r="F18" s="354">
        <f>IF(ISNUMBER(
   IF(D_I="SI",(Datos!K18-Datos!U18)/Datos!U18,(Datos!K18+Datos!AE18-(Datos!U18+Datos!AM18))/(Datos!U18+Datos!AM18))
     ),IF(D_I="SI",(Datos!K18-Datos!U18)/Datos!U18,(Datos!K18+Datos!AE18-(Datos!U18+Datos!AM18))/(Datos!U18+Datos!AM18))," - ")</f>
        <v>-3.6860879904875146E-2</v>
      </c>
      <c r="G18" s="355">
        <f>IF(ISNUMBER(
   IF(D_I="SI",(Datos!L18-Datos!V18)/Datos!V18,(Datos!L18+Datos!AF18-(Datos!V18+Datos!AN18))/(Datos!V18+Datos!AN18))
     ),IF(D_I="SI",(Datos!L18-Datos!V18)/Datos!V18,(Datos!L18+Datos!AF18-(Datos!V18+Datos!AN18))/(Datos!V18+Datos!AN18))," - ")</f>
        <v>0.13181818181818181</v>
      </c>
      <c r="H18" s="356">
        <f>IF(ISNUMBER((Datos!M18-Datos!W18)/Datos!W18),(Datos!M18-Datos!W18)/Datos!W18," - ")</f>
        <v>-0.41129032258064518</v>
      </c>
      <c r="I18" s="357">
        <f>IF(ISNUMBER((Tasas!C18-Datos!BE18)/Datos!BE18),(Tasas!C18-Datos!BE18)/Datos!BE18," - ")</f>
        <v>0.17513468013468025</v>
      </c>
      <c r="J18" s="355">
        <f>IF(ISNUMBER((Tasas!D18-Datos!BF18)/Datos!BF18),(Tasas!D18-Datos!BF18)/Datos!BF18," - ")</f>
        <v>-0.38875945838311426</v>
      </c>
      <c r="K18" s="358">
        <f>IF(ISNUMBER((Tasas!E18-Datos!BG18)/Datos!BG18),(Tasas!E18-Datos!BG18)/Datos!BG18," - ")</f>
        <v>7.7910909346497623E-2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0.15878084179970972</v>
      </c>
      <c r="E19" s="363">
        <f>IF(ISNUMBER(
   IF(J_V="SI",(Datos!J19-Datos!T19)/Datos!T19,(Datos!J19+Datos!Z19-(Datos!T19+Datos!AH19))/(Datos!T19+Datos!AH19))
     ),IF(J_V="SI",(Datos!J19-Datos!T19)/Datos!T19,(Datos!J19+Datos!Z19-(Datos!T19+Datos!AH19))/(Datos!T19+Datos!AH19))," - ")</f>
        <v>0.16150330116810563</v>
      </c>
      <c r="F19" s="363">
        <f>IF(ISNUMBER(
   IF(J_V="SI",(Datos!K19-Datos!U19)/Datos!U19,(Datos!K19+Datos!AA19-(Datos!U19+Datos!AI19))/(Datos!U19+Datos!AI19))
     ),IF(J_V="SI",(Datos!K19-Datos!U19)/Datos!U19,(Datos!K19+Datos!AA19-(Datos!U19+Datos!AI19))/(Datos!U19+Datos!AI19))," - ")</f>
        <v>1.2441679626749611E-2</v>
      </c>
      <c r="G19" s="364">
        <f>IF(ISNUMBER(
   IF(J_V="SI",(Datos!L19-Datos!V19)/Datos!V19,(Datos!L19+Datos!AB19-(Datos!V19+Datos!AJ19))/(Datos!V19+Datos!AJ19))
     ),IF(J_V="SI",(Datos!L19-Datos!V19)/Datos!V19,(Datos!L19+Datos!AB19-(Datos!V19+Datos!AJ19))/(Datos!V19+Datos!AJ19))," - ")</f>
        <v>0.24076724878328085</v>
      </c>
      <c r="H19" s="365">
        <f>IF(ISNUMBER((Datos!M19-Datos!W19)/Datos!W19),(Datos!M19-Datos!W19)/Datos!W19," - ")</f>
        <v>0.26944444444444443</v>
      </c>
      <c r="I19" s="362">
        <f>IF(ISNUMBER((Tasas!C19-Datos!BE19)/Datos!BE19),(Tasas!C19-Datos!BE19)/Datos!BE19," - ")</f>
        <v>0.22551972498870912</v>
      </c>
      <c r="J19" s="363">
        <f>IF(ISNUMBER((Tasas!D19-Datos!BF19)/Datos!BF19),(Tasas!D19-Datos!BF19)/Datos!BF19," - ")</f>
        <v>-0.35145973480233766</v>
      </c>
      <c r="K19" s="364">
        <f>IF(ISNUMBER((Tasas!E19-Datos!BG19)/Datos!BG19),(Tasas!E19-Datos!BG19)/Datos!BG19," - ")</f>
        <v>0.14551878641991492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0.4832244353123909</v>
      </c>
      <c r="E21" s="278">
        <f t="shared" si="1"/>
        <v>0.66614616459312903</v>
      </c>
      <c r="F21" s="278">
        <f t="shared" si="1"/>
        <v>0.5062819799098025</v>
      </c>
      <c r="G21" s="279">
        <f t="shared" si="1"/>
        <v>0.62120893493444418</v>
      </c>
      <c r="H21" s="285">
        <f t="shared" si="1"/>
        <v>0.72128898328161273</v>
      </c>
      <c r="I21" s="277">
        <f t="shared" si="1"/>
        <v>0.21481759654350929</v>
      </c>
      <c r="J21" s="278">
        <f t="shared" si="1"/>
        <v>1.7226323871533628E-2</v>
      </c>
      <c r="K21" s="279">
        <f t="shared" si="1"/>
        <v>0.12993286677826552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ismE7Tnp4tEKXD0hS7IbE1+hfhj4wVFsskwqDlpuRxuYd/gFIZKZHDk23C6xIE+x+NhzIFLAaYEJ63CKbGekQ==" saltValue="pj2R0/Nc0FC8ZWqe63GQu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